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docs.live.net/1fa6dfb41e6ec2b4/HOLD seminar/KWU Files/"/>
    </mc:Choice>
  </mc:AlternateContent>
  <xr:revisionPtr revIDLastSave="9" documentId="8_{5F9951FE-D4E5-4B5A-BCF6-053E13ED5BFF}" xr6:coauthVersionLast="47" xr6:coauthVersionMax="47" xr10:uidLastSave="{F0481930-BAD6-4C07-9CB0-4841F3C5A889}"/>
  <bookViews>
    <workbookView xWindow="-120" yWindow="-120" windowWidth="38640" windowHeight="15840" firstSheet="1" activeTab="1" xr2:uid="{00000000-000D-0000-FFFF-FFFF00000000}"/>
  </bookViews>
  <sheets>
    <sheet name="Chart2" sheetId="5" state="hidden" r:id="rId1"/>
    <sheet name="Analysis Worksheet" sheetId="1" r:id="rId2"/>
    <sheet name="Interest Calculations" sheetId="2" r:id="rId3"/>
    <sheet name="ROI Analysis" sheetId="3" r:id="rId4"/>
  </sheets>
  <externalReferences>
    <externalReference r:id="rId5"/>
    <externalReference r:id="rId6"/>
  </externalReferences>
  <definedNames>
    <definedName name="_xlnm.Print_Area" localSheetId="1">'Analysis Worksheet'!$A$1:$H$69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1" l="1"/>
  <c r="F36" i="1"/>
  <c r="G38" i="1"/>
  <c r="F7" i="1" l="1"/>
  <c r="F12" i="1" l="1"/>
  <c r="F9" i="1"/>
  <c r="L4" i="3" l="1"/>
  <c r="F37" i="1"/>
  <c r="G23" i="1" l="1"/>
  <c r="M34" i="3" l="1"/>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4" i="3"/>
  <c r="D6" i="3"/>
  <c r="D5" i="3"/>
  <c r="B4" i="3"/>
  <c r="F4" i="3"/>
  <c r="M4" i="3"/>
  <c r="F10" i="1" l="1"/>
  <c r="C1" i="2" s="1"/>
  <c r="C2" i="2"/>
  <c r="C3" i="2"/>
  <c r="N4" i="3"/>
  <c r="I34" i="3"/>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O4" i="3" l="1"/>
  <c r="C254" i="2"/>
  <c r="D72" i="2"/>
  <c r="C356" i="2"/>
  <c r="D310" i="2"/>
  <c r="D184" i="2"/>
  <c r="D360" i="2"/>
  <c r="D313" i="2"/>
  <c r="D246" i="2"/>
  <c r="D152" i="2"/>
  <c r="D359" i="2"/>
  <c r="D316" i="2"/>
  <c r="D249" i="2"/>
  <c r="D198" i="2"/>
  <c r="D136" i="2"/>
  <c r="C318" i="2"/>
  <c r="D252" i="2"/>
  <c r="C353" i="2"/>
  <c r="D51" i="2"/>
  <c r="C38" i="2"/>
  <c r="C149" i="2"/>
  <c r="C213" i="2"/>
  <c r="D86" i="2"/>
  <c r="D31" i="2"/>
  <c r="D158" i="2"/>
  <c r="C260" i="2"/>
  <c r="D363" i="2"/>
  <c r="C311" i="2"/>
  <c r="D245" i="2"/>
  <c r="D343" i="2"/>
  <c r="C323" i="2"/>
  <c r="D346" i="2"/>
  <c r="C278" i="2"/>
  <c r="D224" i="2"/>
  <c r="C232" i="2"/>
  <c r="C241" i="2"/>
  <c r="D135" i="2"/>
  <c r="D104" i="2"/>
  <c r="C69" i="2"/>
  <c r="C176" i="2"/>
  <c r="D141" i="2"/>
  <c r="D208" i="2"/>
  <c r="D99" i="2"/>
  <c r="D153" i="2"/>
  <c r="D118" i="2"/>
  <c r="D130" i="2"/>
  <c r="D43" i="2"/>
  <c r="C216" i="2"/>
  <c r="C326" i="2"/>
  <c r="D94" i="2"/>
  <c r="D36" i="2"/>
  <c r="D55" i="2"/>
  <c r="D281" i="2"/>
  <c r="D328" i="2"/>
  <c r="D173" i="2"/>
  <c r="D355" i="2"/>
  <c r="D275" i="2"/>
  <c r="D195" i="2"/>
  <c r="C287" i="2"/>
  <c r="C223" i="2"/>
  <c r="D309" i="2"/>
  <c r="D229" i="2"/>
  <c r="C325" i="2"/>
  <c r="D37" i="2"/>
  <c r="C322" i="2"/>
  <c r="C226" i="2"/>
  <c r="D280" i="2"/>
  <c r="C352" i="2"/>
  <c r="D265" i="2"/>
  <c r="D314" i="2"/>
  <c r="D226" i="2"/>
  <c r="D351" i="2"/>
  <c r="C246" i="2"/>
  <c r="D352" i="2"/>
  <c r="D276" i="2"/>
  <c r="C360" i="2"/>
  <c r="C284" i="2"/>
  <c r="C220" i="2"/>
  <c r="D302" i="2"/>
  <c r="C233" i="2"/>
  <c r="D175" i="2"/>
  <c r="D111" i="2"/>
  <c r="D40" i="2"/>
  <c r="D112" i="2"/>
  <c r="D176" i="2"/>
  <c r="D71" i="2"/>
  <c r="D266" i="2"/>
  <c r="C228" i="2"/>
  <c r="C336" i="2"/>
  <c r="C275" i="2"/>
  <c r="D231" i="2"/>
  <c r="C338" i="2"/>
  <c r="C204" i="2"/>
  <c r="D27" i="2"/>
  <c r="D154" i="2"/>
  <c r="D82" i="2"/>
  <c r="D97" i="2"/>
  <c r="D100" i="2"/>
  <c r="C324" i="2"/>
  <c r="D49" i="2"/>
  <c r="D243" i="2"/>
  <c r="C279" i="2"/>
  <c r="D357" i="2"/>
  <c r="D221" i="2"/>
  <c r="D69" i="2"/>
  <c r="C355" i="2"/>
  <c r="C340" i="2"/>
  <c r="D294" i="2"/>
  <c r="D319" i="2"/>
  <c r="C234" i="2"/>
  <c r="D244" i="2"/>
  <c r="D273" i="2"/>
  <c r="C281" i="2"/>
  <c r="C225" i="2"/>
  <c r="D159" i="2"/>
  <c r="D103" i="2"/>
  <c r="C90" i="2"/>
  <c r="C314" i="2"/>
  <c r="D193" i="2"/>
  <c r="D155" i="2"/>
  <c r="C219" i="2"/>
  <c r="D30" i="2"/>
  <c r="D298" i="2"/>
  <c r="D199" i="2"/>
  <c r="D331" i="2"/>
  <c r="C351" i="2"/>
  <c r="D285" i="2"/>
  <c r="C301" i="2"/>
  <c r="C302" i="2"/>
  <c r="D268" i="2"/>
  <c r="C224" i="2"/>
  <c r="D218" i="2"/>
  <c r="C331" i="2"/>
  <c r="C348" i="2"/>
  <c r="D354" i="2"/>
  <c r="C17" i="2"/>
  <c r="C133" i="2"/>
  <c r="C315" i="2"/>
  <c r="D306" i="2"/>
  <c r="D16" i="2"/>
  <c r="D54" i="2"/>
  <c r="D10" i="2"/>
  <c r="D177" i="2"/>
  <c r="C221" i="2"/>
  <c r="D304" i="2"/>
  <c r="C192" i="2"/>
  <c r="D61" i="2"/>
  <c r="D132" i="2"/>
  <c r="C321" i="2"/>
  <c r="C243" i="2"/>
  <c r="D263" i="2"/>
  <c r="D77" i="2"/>
  <c r="D307" i="2"/>
  <c r="D235" i="2"/>
  <c r="C335" i="2"/>
  <c r="C247" i="2"/>
  <c r="D349" i="2"/>
  <c r="D277" i="2"/>
  <c r="C357" i="2"/>
  <c r="C285" i="2"/>
  <c r="D109" i="2"/>
  <c r="C270" i="2"/>
  <c r="D344" i="2"/>
  <c r="D236" i="2"/>
  <c r="D297" i="2"/>
  <c r="C212" i="2"/>
  <c r="C273" i="2"/>
  <c r="D85" i="2"/>
  <c r="D287" i="2"/>
  <c r="D223" i="2"/>
  <c r="D308" i="2"/>
  <c r="C235" i="2"/>
  <c r="C328" i="2"/>
  <c r="D241" i="2"/>
  <c r="C345" i="2"/>
  <c r="D270" i="2"/>
  <c r="C201" i="2"/>
  <c r="D143" i="2"/>
  <c r="D95" i="2"/>
  <c r="D88" i="2"/>
  <c r="D144" i="2"/>
  <c r="D192" i="2"/>
  <c r="D230" i="2"/>
  <c r="D330" i="2"/>
  <c r="C272" i="2"/>
  <c r="D232" i="2"/>
  <c r="C339" i="2"/>
  <c r="C274" i="2"/>
  <c r="D57" i="2"/>
  <c r="D228" i="2"/>
  <c r="D129" i="2"/>
  <c r="D18" i="2"/>
  <c r="D318" i="2"/>
  <c r="D324" i="2"/>
  <c r="D25" i="2"/>
  <c r="D164" i="2"/>
  <c r="D264" i="2"/>
  <c r="C286" i="2"/>
  <c r="D291" i="2"/>
  <c r="D227" i="2"/>
  <c r="C239" i="2"/>
  <c r="D325" i="2"/>
  <c r="C349" i="2"/>
  <c r="C269" i="2"/>
  <c r="C238" i="2"/>
  <c r="D216" i="2"/>
  <c r="C276" i="2"/>
  <c r="D234" i="2"/>
  <c r="D161" i="2"/>
  <c r="C363" i="2"/>
  <c r="D288" i="2"/>
  <c r="D305" i="2"/>
  <c r="D322" i="2"/>
  <c r="D191" i="2"/>
  <c r="D32" i="2"/>
  <c r="F14" i="1"/>
  <c r="AE4" i="3" s="1"/>
  <c r="C128" i="2"/>
  <c r="C101" i="2"/>
  <c r="F19" i="1"/>
  <c r="G19" i="1" s="1"/>
  <c r="G50" i="1" s="1"/>
  <c r="P4" i="3"/>
  <c r="AH5" i="3" s="1"/>
  <c r="C58" i="2"/>
  <c r="C85" i="2"/>
  <c r="C112" i="2"/>
  <c r="C144" i="2"/>
  <c r="C170" i="2"/>
  <c r="C294" i="2"/>
  <c r="D292" i="2"/>
  <c r="D289" i="2"/>
  <c r="D286" i="2"/>
  <c r="D147" i="2"/>
  <c r="C191" i="2"/>
  <c r="D81" i="2"/>
  <c r="D20" i="2"/>
  <c r="D58" i="2"/>
  <c r="D122" i="2"/>
  <c r="D186" i="2"/>
  <c r="D194" i="2"/>
  <c r="D66" i="2"/>
  <c r="C196" i="2"/>
  <c r="D107" i="2"/>
  <c r="C237" i="2"/>
  <c r="C236" i="2"/>
  <c r="D240" i="2"/>
  <c r="D239" i="2"/>
  <c r="D29" i="2"/>
  <c r="D6" i="2"/>
  <c r="D78" i="2"/>
  <c r="D169" i="2"/>
  <c r="D44" i="2"/>
  <c r="D108" i="2"/>
  <c r="D172" i="2"/>
  <c r="D238" i="2"/>
  <c r="D217" i="2"/>
  <c r="C304" i="2"/>
  <c r="D220" i="2"/>
  <c r="C307" i="2"/>
  <c r="C222" i="2"/>
  <c r="C306" i="2"/>
  <c r="D89" i="2"/>
  <c r="D133" i="2"/>
  <c r="D347" i="2"/>
  <c r="D315" i="2"/>
  <c r="D283" i="2"/>
  <c r="D251" i="2"/>
  <c r="D219" i="2"/>
  <c r="C359" i="2"/>
  <c r="C327" i="2"/>
  <c r="C295" i="2"/>
  <c r="C263" i="2"/>
  <c r="C231" i="2"/>
  <c r="C199" i="2"/>
  <c r="D333" i="2"/>
  <c r="D301" i="2"/>
  <c r="D269" i="2"/>
  <c r="D237" i="2"/>
  <c r="D205" i="2"/>
  <c r="C341" i="2"/>
  <c r="C309" i="2"/>
  <c r="C277" i="2"/>
  <c r="D17" i="2"/>
  <c r="D149" i="2"/>
  <c r="C334" i="2"/>
  <c r="C290" i="2"/>
  <c r="D247" i="2"/>
  <c r="C206" i="2"/>
  <c r="D332" i="2"/>
  <c r="C291" i="2"/>
  <c r="D248" i="2"/>
  <c r="D204" i="2"/>
  <c r="D329" i="2"/>
  <c r="C288" i="2"/>
  <c r="C244" i="2"/>
  <c r="D201" i="2"/>
  <c r="D326" i="2"/>
  <c r="D282" i="2"/>
  <c r="D242" i="2"/>
  <c r="D210" i="2"/>
  <c r="D117" i="2"/>
  <c r="C342" i="2"/>
  <c r="C298" i="2"/>
  <c r="C28" i="2"/>
  <c r="C80" i="2"/>
  <c r="C122" i="2"/>
  <c r="C154" i="2"/>
  <c r="D65" i="2"/>
  <c r="D207" i="2"/>
  <c r="C312" i="2"/>
  <c r="C229" i="2"/>
  <c r="D83" i="2"/>
  <c r="D53" i="2"/>
  <c r="D23" i="2"/>
  <c r="D90" i="2"/>
  <c r="D182" i="2"/>
  <c r="D146" i="2"/>
  <c r="D145" i="2"/>
  <c r="D91" i="2"/>
  <c r="C297" i="2"/>
  <c r="D321" i="2"/>
  <c r="C218" i="2"/>
  <c r="C190" i="2"/>
  <c r="D142" i="2"/>
  <c r="D8" i="2"/>
  <c r="D68" i="2"/>
  <c r="D140" i="2"/>
  <c r="D222" i="2"/>
  <c r="C240" i="2"/>
  <c r="D345" i="2"/>
  <c r="D284" i="2"/>
  <c r="C242" i="2"/>
  <c r="C350" i="2"/>
  <c r="D105" i="2"/>
  <c r="D339" i="2"/>
  <c r="D299" i="2"/>
  <c r="D259" i="2"/>
  <c r="D211" i="2"/>
  <c r="C343" i="2"/>
  <c r="C303" i="2"/>
  <c r="C255" i="2"/>
  <c r="C215" i="2"/>
  <c r="D341" i="2"/>
  <c r="D293" i="2"/>
  <c r="D253" i="2"/>
  <c r="D213" i="2"/>
  <c r="C333" i="2"/>
  <c r="C293" i="2"/>
  <c r="C253" i="2"/>
  <c r="D185" i="2"/>
  <c r="D311" i="2"/>
  <c r="C258" i="2"/>
  <c r="D364" i="2"/>
  <c r="D312" i="2"/>
  <c r="C259" i="2"/>
  <c r="D361" i="2"/>
  <c r="C308" i="2"/>
  <c r="C256" i="2"/>
  <c r="D358" i="2"/>
  <c r="C305" i="2"/>
  <c r="D250" i="2"/>
  <c r="D202" i="2"/>
  <c r="C362" i="2"/>
  <c r="C310" i="2"/>
  <c r="D255" i="2"/>
  <c r="C214" i="2"/>
  <c r="D340" i="2"/>
  <c r="C299" i="2"/>
  <c r="D256" i="2"/>
  <c r="D212" i="2"/>
  <c r="D337" i="2"/>
  <c r="C296" i="2"/>
  <c r="C252" i="2"/>
  <c r="D209" i="2"/>
  <c r="D334" i="2"/>
  <c r="D290" i="2"/>
  <c r="C249" i="2"/>
  <c r="C217" i="2"/>
  <c r="D183" i="2"/>
  <c r="D151" i="2"/>
  <c r="D119" i="2"/>
  <c r="D87" i="2"/>
  <c r="D48" i="2"/>
  <c r="D96" i="2"/>
  <c r="D128" i="2"/>
  <c r="D160" i="2"/>
  <c r="D125" i="2"/>
  <c r="D295" i="2"/>
  <c r="C210" i="2"/>
  <c r="D296" i="2"/>
  <c r="C211" i="2"/>
  <c r="C292" i="2"/>
  <c r="C208" i="2"/>
  <c r="C289" i="2"/>
  <c r="D214" i="2"/>
  <c r="D39" i="2"/>
  <c r="D168" i="2"/>
  <c r="D120" i="2"/>
  <c r="D80" i="2"/>
  <c r="D79" i="2"/>
  <c r="D127" i="2"/>
  <c r="D167" i="2"/>
  <c r="C209" i="2"/>
  <c r="D258" i="2"/>
  <c r="C313" i="2"/>
  <c r="C200" i="2"/>
  <c r="C264" i="2"/>
  <c r="C316" i="2"/>
  <c r="C203" i="2"/>
  <c r="C267" i="2"/>
  <c r="D320" i="2"/>
  <c r="C202" i="2"/>
  <c r="C266" i="2"/>
  <c r="C330" i="2"/>
  <c r="D45" i="2"/>
  <c r="D262" i="2"/>
  <c r="C337" i="2"/>
  <c r="D233" i="2"/>
  <c r="C320" i="2"/>
  <c r="C227" i="2"/>
  <c r="D300" i="2"/>
  <c r="D215" i="2"/>
  <c r="D279" i="2"/>
  <c r="C354" i="2"/>
  <c r="C261" i="2"/>
  <c r="C317" i="2"/>
  <c r="D197" i="2"/>
  <c r="D261" i="2"/>
  <c r="D317" i="2"/>
  <c r="C207" i="2"/>
  <c r="C271" i="2"/>
  <c r="C319" i="2"/>
  <c r="D203" i="2"/>
  <c r="D267" i="2"/>
  <c r="D323" i="2"/>
  <c r="D165" i="2"/>
  <c r="D327" i="2"/>
  <c r="D348" i="2"/>
  <c r="D200" i="2"/>
  <c r="D362" i="2"/>
  <c r="D35" i="2"/>
  <c r="D76" i="2"/>
  <c r="D19" i="2"/>
  <c r="D14" i="2"/>
  <c r="D303" i="2"/>
  <c r="C300" i="2"/>
  <c r="D171" i="2"/>
  <c r="D33" i="2"/>
  <c r="D9" i="2"/>
  <c r="D150" i="2"/>
  <c r="D26" i="2"/>
  <c r="C188" i="2"/>
  <c r="D163" i="2"/>
  <c r="D225" i="2"/>
  <c r="C230" i="2"/>
  <c r="C165" i="2"/>
  <c r="C106" i="2"/>
  <c r="C8" i="2"/>
  <c r="C10" i="2"/>
  <c r="C21" i="2"/>
  <c r="C32" i="2"/>
  <c r="C42" i="2"/>
  <c r="C53" i="2"/>
  <c r="C60" i="2"/>
  <c r="C65" i="2"/>
  <c r="C70" i="2"/>
  <c r="C76" i="2"/>
  <c r="C81" i="2"/>
  <c r="C86" i="2"/>
  <c r="C92" i="2"/>
  <c r="C97" i="2"/>
  <c r="C102" i="2"/>
  <c r="C108" i="2"/>
  <c r="C113" i="2"/>
  <c r="C118" i="2"/>
  <c r="C124" i="2"/>
  <c r="C129" i="2"/>
  <c r="C134" i="2"/>
  <c r="C140" i="2"/>
  <c r="C145" i="2"/>
  <c r="C150" i="2"/>
  <c r="C156" i="2"/>
  <c r="C161" i="2"/>
  <c r="C166" i="2"/>
  <c r="C172" i="2"/>
  <c r="C177" i="2"/>
  <c r="C182" i="2"/>
  <c r="C358" i="2"/>
  <c r="D271" i="2"/>
  <c r="D356" i="2"/>
  <c r="D272" i="2"/>
  <c r="D353" i="2"/>
  <c r="C268" i="2"/>
  <c r="D350" i="2"/>
  <c r="C265" i="2"/>
  <c r="C197" i="2"/>
  <c r="D131" i="2"/>
  <c r="D59" i="2"/>
  <c r="D64" i="2"/>
  <c r="D13" i="2"/>
  <c r="D93" i="2"/>
  <c r="D157" i="2"/>
  <c r="D7" i="2"/>
  <c r="D38" i="2"/>
  <c r="D70" i="2"/>
  <c r="D102" i="2"/>
  <c r="D134" i="2"/>
  <c r="D166" i="2"/>
  <c r="D196" i="2"/>
  <c r="C193" i="2"/>
  <c r="D178" i="2"/>
  <c r="D114" i="2"/>
  <c r="D50" i="2"/>
  <c r="D113" i="2"/>
  <c r="C187" i="2"/>
  <c r="D63" i="2"/>
  <c r="D123" i="2"/>
  <c r="D187" i="2"/>
  <c r="D254" i="2"/>
  <c r="D338" i="2"/>
  <c r="D257" i="2"/>
  <c r="C344" i="2"/>
  <c r="D260" i="2"/>
  <c r="C347" i="2"/>
  <c r="C262" i="2"/>
  <c r="C346" i="2"/>
  <c r="C185" i="2"/>
  <c r="C194" i="2"/>
  <c r="D190" i="2"/>
  <c r="D126" i="2"/>
  <c r="D62" i="2"/>
  <c r="D11" i="2"/>
  <c r="D137" i="2"/>
  <c r="D12" i="2"/>
  <c r="D52" i="2"/>
  <c r="D84" i="2"/>
  <c r="D116" i="2"/>
  <c r="D148" i="2"/>
  <c r="D180" i="2"/>
  <c r="D67" i="2"/>
  <c r="C257" i="2"/>
  <c r="D342" i="2"/>
  <c r="C12" i="2"/>
  <c r="C22" i="2"/>
  <c r="C33" i="2"/>
  <c r="C44" i="2"/>
  <c r="C54" i="2"/>
  <c r="C61" i="2"/>
  <c r="C66" i="2"/>
  <c r="C72" i="2"/>
  <c r="C77" i="2"/>
  <c r="C82" i="2"/>
  <c r="C88" i="2"/>
  <c r="C93" i="2"/>
  <c r="C98" i="2"/>
  <c r="C104" i="2"/>
  <c r="C109" i="2"/>
  <c r="C114" i="2"/>
  <c r="C120" i="2"/>
  <c r="C125" i="2"/>
  <c r="C130" i="2"/>
  <c r="C136" i="2"/>
  <c r="C141" i="2"/>
  <c r="C146" i="2"/>
  <c r="C152" i="2"/>
  <c r="C157" i="2"/>
  <c r="C162" i="2"/>
  <c r="C168" i="2"/>
  <c r="C173" i="2"/>
  <c r="C178" i="2"/>
  <c r="C184" i="2"/>
  <c r="D21" i="2"/>
  <c r="D335" i="2"/>
  <c r="C250" i="2"/>
  <c r="D336" i="2"/>
  <c r="C251" i="2"/>
  <c r="C332" i="2"/>
  <c r="C248" i="2"/>
  <c r="C329" i="2"/>
  <c r="C245" i="2"/>
  <c r="D179" i="2"/>
  <c r="D115" i="2"/>
  <c r="D47" i="2"/>
  <c r="D56" i="2"/>
  <c r="D41" i="2"/>
  <c r="D121" i="2"/>
  <c r="D189" i="2"/>
  <c r="D15" i="2"/>
  <c r="D42" i="2"/>
  <c r="D74" i="2"/>
  <c r="D106" i="2"/>
  <c r="D138" i="2"/>
  <c r="D170" i="2"/>
  <c r="D5" i="2"/>
  <c r="C189" i="2"/>
  <c r="D162" i="2"/>
  <c r="D98" i="2"/>
  <c r="D34" i="2"/>
  <c r="D73" i="2"/>
  <c r="C195" i="2"/>
  <c r="D75" i="2"/>
  <c r="D139" i="2"/>
  <c r="C205" i="2"/>
  <c r="D274" i="2"/>
  <c r="C361" i="2"/>
  <c r="C280" i="2"/>
  <c r="C364" i="2"/>
  <c r="C283" i="2"/>
  <c r="C198" i="2"/>
  <c r="C282" i="2"/>
  <c r="D181" i="2"/>
  <c r="C186" i="2"/>
  <c r="D22" i="2"/>
  <c r="D174" i="2"/>
  <c r="D110" i="2"/>
  <c r="D46" i="2"/>
  <c r="D24" i="2"/>
  <c r="D101" i="2"/>
  <c r="D28" i="2"/>
  <c r="D60" i="2"/>
  <c r="D92" i="2"/>
  <c r="D124" i="2"/>
  <c r="D156" i="2"/>
  <c r="D188" i="2"/>
  <c r="D206" i="2"/>
  <c r="D278" i="2"/>
  <c r="C5" i="2"/>
  <c r="C16" i="2"/>
  <c r="C26" i="2"/>
  <c r="C37" i="2"/>
  <c r="C48" i="2"/>
  <c r="C56" i="2"/>
  <c r="C64" i="2"/>
  <c r="C68" i="2"/>
  <c r="C73" i="2"/>
  <c r="C78" i="2"/>
  <c r="C84" i="2"/>
  <c r="C89" i="2"/>
  <c r="C94" i="2"/>
  <c r="C100" i="2"/>
  <c r="C105" i="2"/>
  <c r="C110" i="2"/>
  <c r="C116" i="2"/>
  <c r="C121" i="2"/>
  <c r="C126" i="2"/>
  <c r="C132" i="2"/>
  <c r="C137" i="2"/>
  <c r="C142" i="2"/>
  <c r="C148" i="2"/>
  <c r="C153" i="2"/>
  <c r="C158" i="2"/>
  <c r="C164" i="2"/>
  <c r="C169" i="2"/>
  <c r="C174" i="2"/>
  <c r="C180" i="2"/>
  <c r="C181" i="2"/>
  <c r="C160" i="2"/>
  <c r="C138" i="2"/>
  <c r="C117" i="2"/>
  <c r="C96" i="2"/>
  <c r="C74" i="2"/>
  <c r="C49" i="2"/>
  <c r="C6" i="2"/>
  <c r="C62" i="2"/>
  <c r="C57" i="2"/>
  <c r="C52" i="2"/>
  <c r="C46" i="2"/>
  <c r="C41" i="2"/>
  <c r="C36" i="2"/>
  <c r="C30" i="2"/>
  <c r="C25" i="2"/>
  <c r="C20" i="2"/>
  <c r="C14" i="2"/>
  <c r="C9" i="2"/>
  <c r="C7" i="2"/>
  <c r="C11" i="2"/>
  <c r="C15" i="2"/>
  <c r="C19" i="2"/>
  <c r="C23" i="2"/>
  <c r="C27" i="2"/>
  <c r="C31" i="2"/>
  <c r="C35" i="2"/>
  <c r="C39" i="2"/>
  <c r="C43" i="2"/>
  <c r="C47" i="2"/>
  <c r="C51" i="2"/>
  <c r="C55" i="2"/>
  <c r="C59" i="2"/>
  <c r="C63" i="2"/>
  <c r="C67" i="2"/>
  <c r="C71" i="2"/>
  <c r="C75" i="2"/>
  <c r="C79" i="2"/>
  <c r="C83" i="2"/>
  <c r="C87" i="2"/>
  <c r="C91" i="2"/>
  <c r="C95" i="2"/>
  <c r="C99" i="2"/>
  <c r="C103" i="2"/>
  <c r="C107" i="2"/>
  <c r="C111" i="2"/>
  <c r="C115" i="2"/>
  <c r="C119" i="2"/>
  <c r="C123" i="2"/>
  <c r="C127" i="2"/>
  <c r="C131" i="2"/>
  <c r="C135" i="2"/>
  <c r="C139" i="2"/>
  <c r="C143" i="2"/>
  <c r="C147" i="2"/>
  <c r="C151" i="2"/>
  <c r="C155" i="2"/>
  <c r="C159" i="2"/>
  <c r="C163" i="2"/>
  <c r="C167" i="2"/>
  <c r="C171" i="2"/>
  <c r="C175" i="2"/>
  <c r="C179" i="2"/>
  <c r="C183" i="2"/>
  <c r="C50" i="2"/>
  <c r="C45" i="2"/>
  <c r="C40" i="2"/>
  <c r="C34" i="2"/>
  <c r="C29" i="2"/>
  <c r="C24" i="2"/>
  <c r="C18" i="2"/>
  <c r="C13" i="2"/>
  <c r="U19" i="3" l="1"/>
  <c r="U14" i="3"/>
  <c r="AH6" i="3"/>
  <c r="L5" i="3"/>
  <c r="N5" i="3" s="1"/>
  <c r="O5" i="3" s="1"/>
  <c r="C63" i="1"/>
  <c r="AM4" i="3"/>
  <c r="AI4" i="3"/>
  <c r="AQ4" i="3"/>
  <c r="Q4" i="3"/>
  <c r="U4" i="3"/>
  <c r="U18" i="3"/>
  <c r="U31" i="3"/>
  <c r="U9" i="3"/>
  <c r="U29" i="3"/>
  <c r="U7" i="3"/>
  <c r="U24" i="3"/>
  <c r="G232" i="2"/>
  <c r="I22" i="3" s="1"/>
  <c r="G328" i="2"/>
  <c r="I30" i="3" s="1"/>
  <c r="F50" i="1"/>
  <c r="G316" i="2"/>
  <c r="I29" i="3" s="1"/>
  <c r="U8" i="3"/>
  <c r="U13" i="3"/>
  <c r="U23" i="3"/>
  <c r="U26" i="3"/>
  <c r="U33" i="3"/>
  <c r="U5" i="3"/>
  <c r="U16" i="3"/>
  <c r="U11" i="3"/>
  <c r="U10" i="3"/>
  <c r="U21" i="3"/>
  <c r="U28" i="3"/>
  <c r="U15" i="3"/>
  <c r="U25" i="3"/>
  <c r="U12" i="3"/>
  <c r="U30" i="3"/>
  <c r="U17" i="3"/>
  <c r="U27" i="3"/>
  <c r="U6" i="3"/>
  <c r="U20" i="3"/>
  <c r="U22" i="3"/>
  <c r="U32" i="3"/>
  <c r="G280" i="2"/>
  <c r="I26" i="3" s="1"/>
  <c r="G220" i="2"/>
  <c r="I21" i="3" s="1"/>
  <c r="G352" i="2"/>
  <c r="I32" i="3" s="1"/>
  <c r="G244" i="2"/>
  <c r="I23" i="3" s="1"/>
  <c r="G292" i="2"/>
  <c r="I27" i="3" s="1"/>
  <c r="G256" i="2"/>
  <c r="I24" i="3" s="1"/>
  <c r="G208" i="2"/>
  <c r="I20" i="3" s="1"/>
  <c r="G340" i="2"/>
  <c r="I31" i="3" s="1"/>
  <c r="G112" i="2"/>
  <c r="I12" i="3" s="1"/>
  <c r="G64" i="2"/>
  <c r="I8" i="3" s="1"/>
  <c r="G160" i="2"/>
  <c r="I16" i="3" s="1"/>
  <c r="G304" i="2"/>
  <c r="I28" i="3" s="1"/>
  <c r="G268" i="2"/>
  <c r="I25" i="3" s="1"/>
  <c r="G28" i="2"/>
  <c r="I5" i="3" s="1"/>
  <c r="G172" i="2"/>
  <c r="I17" i="3" s="1"/>
  <c r="G124" i="2"/>
  <c r="I13" i="3" s="1"/>
  <c r="G76" i="2"/>
  <c r="I9" i="3" s="1"/>
  <c r="G184" i="2"/>
  <c r="I18" i="3" s="1"/>
  <c r="G136" i="2"/>
  <c r="I14" i="3" s="1"/>
  <c r="G88" i="2"/>
  <c r="I10" i="3" s="1"/>
  <c r="E16" i="2"/>
  <c r="C65" i="1" s="1"/>
  <c r="G196" i="2"/>
  <c r="I19" i="3" s="1"/>
  <c r="G148" i="2"/>
  <c r="I15" i="3" s="1"/>
  <c r="G100" i="2"/>
  <c r="I11" i="3" s="1"/>
  <c r="G364" i="2"/>
  <c r="I33" i="3" s="1"/>
  <c r="E124" i="2"/>
  <c r="F64" i="2"/>
  <c r="E172" i="2"/>
  <c r="R17" i="3" s="1"/>
  <c r="F304" i="2"/>
  <c r="F88" i="2"/>
  <c r="E292" i="2"/>
  <c r="R27" i="3" s="1"/>
  <c r="E76" i="2"/>
  <c r="R9" i="3" s="1"/>
  <c r="E268" i="2"/>
  <c r="R25" i="3" s="1"/>
  <c r="F352" i="2"/>
  <c r="F196" i="2"/>
  <c r="F52" i="2"/>
  <c r="E148" i="2"/>
  <c r="R15" i="3" s="1"/>
  <c r="E352" i="2"/>
  <c r="R32" i="3" s="1"/>
  <c r="E364" i="2"/>
  <c r="R33" i="3" s="1"/>
  <c r="F136" i="2"/>
  <c r="E196" i="2"/>
  <c r="R19" i="3" s="1"/>
  <c r="F340" i="2"/>
  <c r="F220" i="2"/>
  <c r="E280" i="2"/>
  <c r="R26" i="3" s="1"/>
  <c r="F28" i="2"/>
  <c r="F268" i="2"/>
  <c r="F280" i="2"/>
  <c r="E160" i="2"/>
  <c r="R16" i="3" s="1"/>
  <c r="F232" i="2"/>
  <c r="E52" i="2"/>
  <c r="R7" i="3" s="1"/>
  <c r="F148" i="2"/>
  <c r="F40" i="2"/>
  <c r="E256" i="2"/>
  <c r="R24" i="3" s="1"/>
  <c r="F172" i="2"/>
  <c r="F160" i="2"/>
  <c r="G16" i="2"/>
  <c r="E340" i="2"/>
  <c r="R31" i="3" s="1"/>
  <c r="F124" i="2"/>
  <c r="F208" i="2"/>
  <c r="E220" i="2"/>
  <c r="R21" i="3" s="1"/>
  <c r="E304" i="2"/>
  <c r="R28" i="3" s="1"/>
  <c r="F76" i="2"/>
  <c r="E88" i="2"/>
  <c r="R10" i="3" s="1"/>
  <c r="E40" i="2"/>
  <c r="R6" i="3" s="1"/>
  <c r="F112" i="2"/>
  <c r="F100" i="2"/>
  <c r="E112" i="2"/>
  <c r="R12" i="3" s="1"/>
  <c r="E184" i="2"/>
  <c r="G40" i="2"/>
  <c r="I6" i="3" s="1"/>
  <c r="F184" i="2"/>
  <c r="F292" i="2"/>
  <c r="E100" i="2"/>
  <c r="R11" i="3" s="1"/>
  <c r="E136" i="2"/>
  <c r="R14" i="3" s="1"/>
  <c r="E64" i="2"/>
  <c r="F328" i="2"/>
  <c r="F316" i="2"/>
  <c r="E232" i="2"/>
  <c r="R22" i="3" s="1"/>
  <c r="F16" i="2"/>
  <c r="I4" i="3" s="1"/>
  <c r="G52" i="2"/>
  <c r="I7" i="3" s="1"/>
  <c r="F364" i="2"/>
  <c r="F256" i="2"/>
  <c r="E316" i="2"/>
  <c r="R29" i="3" s="1"/>
  <c r="E244" i="2"/>
  <c r="R23" i="3" s="1"/>
  <c r="E28" i="2"/>
  <c r="R5" i="3" s="1"/>
  <c r="F244" i="2"/>
  <c r="E208" i="2"/>
  <c r="R20" i="3" s="1"/>
  <c r="E328" i="2"/>
  <c r="R30" i="3" s="1"/>
  <c r="C64" i="1" l="1"/>
  <c r="F65" i="1"/>
  <c r="R13" i="3"/>
  <c r="G65" i="1"/>
  <c r="J4" i="3"/>
  <c r="R8" i="3"/>
  <c r="H65" i="1"/>
  <c r="R18" i="3"/>
  <c r="R4" i="3"/>
  <c r="AH7" i="3" s="1"/>
  <c r="P5" i="3"/>
  <c r="S4" i="3" l="1"/>
  <c r="C66" i="1"/>
  <c r="S5" i="3"/>
  <c r="Q5" i="3"/>
  <c r="L6" i="3"/>
  <c r="N6" i="3" s="1"/>
  <c r="J5" i="3"/>
  <c r="J6" i="3" l="1"/>
  <c r="P6" i="3"/>
  <c r="J7" i="3" l="1"/>
  <c r="Q6" i="3"/>
  <c r="L7" i="3"/>
  <c r="N7" i="3" s="1"/>
  <c r="S6" i="3"/>
  <c r="O6" i="3"/>
  <c r="J8" i="3" l="1"/>
  <c r="P7" i="3"/>
  <c r="S7" i="3" l="1"/>
  <c r="L8" i="3"/>
  <c r="N8" i="3" s="1"/>
  <c r="Q7" i="3"/>
  <c r="J9" i="3"/>
  <c r="O7" i="3"/>
  <c r="J10" i="3" l="1"/>
  <c r="P8" i="3"/>
  <c r="F63" i="1" l="1"/>
  <c r="F66" i="1" s="1"/>
  <c r="AL5" i="3"/>
  <c r="L9" i="3"/>
  <c r="Q8" i="3"/>
  <c r="S8" i="3"/>
  <c r="J11" i="3"/>
  <c r="O8" i="3"/>
  <c r="F64" i="1" l="1"/>
  <c r="N9" i="3"/>
  <c r="P9" i="3" s="1"/>
  <c r="J12" i="3"/>
  <c r="J13" i="3" l="1"/>
  <c r="L10" i="3"/>
  <c r="N10" i="3" s="1"/>
  <c r="Q9" i="3"/>
  <c r="AL6" i="3" s="1"/>
  <c r="AL7" i="3" s="1"/>
  <c r="S9" i="3"/>
  <c r="O9" i="3"/>
  <c r="P10" i="3" l="1"/>
  <c r="J14" i="3"/>
  <c r="J15" i="3" l="1"/>
  <c r="L11" i="3"/>
  <c r="N11" i="3" s="1"/>
  <c r="S10" i="3"/>
  <c r="Q10" i="3"/>
  <c r="O10" i="3"/>
  <c r="J16" i="3" l="1"/>
  <c r="O11" i="3" l="1"/>
  <c r="P11" i="3"/>
  <c r="J17" i="3"/>
  <c r="L12" i="3" l="1"/>
  <c r="N12" i="3" s="1"/>
  <c r="S11" i="3"/>
  <c r="Q11" i="3"/>
  <c r="J18" i="3"/>
  <c r="J19" i="3" l="1"/>
  <c r="O12" i="3" l="1"/>
  <c r="P12" i="3"/>
  <c r="J20" i="3"/>
  <c r="L13" i="3" l="1"/>
  <c r="N13" i="3" s="1"/>
  <c r="Q12" i="3"/>
  <c r="S12" i="3"/>
  <c r="J21" i="3"/>
  <c r="J22" i="3" l="1"/>
  <c r="O13" i="3" l="1"/>
  <c r="P13" i="3"/>
  <c r="J23" i="3"/>
  <c r="G63" i="1" l="1"/>
  <c r="G66" i="1" s="1"/>
  <c r="AP5" i="3"/>
  <c r="L14" i="3"/>
  <c r="Q13" i="3"/>
  <c r="S13" i="3"/>
  <c r="J24" i="3"/>
  <c r="G64" i="1" l="1"/>
  <c r="N14" i="3"/>
  <c r="P14" i="3" s="1"/>
  <c r="J25" i="3"/>
  <c r="J26" i="3" l="1"/>
  <c r="S14" i="3"/>
  <c r="L15" i="3"/>
  <c r="N15" i="3" s="1"/>
  <c r="Q14" i="3"/>
  <c r="AP6" i="3" s="1"/>
  <c r="AP7" i="3" s="1"/>
  <c r="O14" i="3"/>
  <c r="J27" i="3" l="1"/>
  <c r="O15" i="3" l="1"/>
  <c r="P15" i="3"/>
  <c r="J28" i="3"/>
  <c r="L16" i="3" l="1"/>
  <c r="N16" i="3" s="1"/>
  <c r="S15" i="3"/>
  <c r="Q15" i="3"/>
  <c r="J29" i="3"/>
  <c r="J30" i="3" l="1"/>
  <c r="O16" i="3" l="1"/>
  <c r="J31" i="3"/>
  <c r="P16" i="3"/>
  <c r="L17" i="3" l="1"/>
  <c r="N17" i="3" s="1"/>
  <c r="Q16" i="3"/>
  <c r="S16" i="3"/>
  <c r="J32" i="3"/>
  <c r="J33" i="3" l="1"/>
  <c r="J34" i="3" l="1"/>
  <c r="O17" i="3"/>
  <c r="P17" i="3"/>
  <c r="L18" i="3" l="1"/>
  <c r="Q17" i="3"/>
  <c r="S17" i="3"/>
  <c r="N18" i="3" l="1"/>
  <c r="P18" i="3" s="1"/>
  <c r="H63" i="1" l="1"/>
  <c r="H66" i="1" s="1"/>
  <c r="AT5" i="3"/>
  <c r="Q18" i="3"/>
  <c r="AT6" i="3" s="1"/>
  <c r="L19" i="3"/>
  <c r="N19" i="3" s="1"/>
  <c r="S18" i="3"/>
  <c r="O18" i="3"/>
  <c r="H64" i="1" l="1"/>
  <c r="AT7" i="3"/>
  <c r="P19" i="3"/>
  <c r="L20" i="3" l="1"/>
  <c r="N20" i="3" s="1"/>
  <c r="Q19" i="3"/>
  <c r="S19" i="3"/>
  <c r="O19" i="3"/>
  <c r="P20" i="3" l="1"/>
  <c r="S20" i="3" l="1"/>
  <c r="Q20" i="3"/>
  <c r="L21" i="3"/>
  <c r="N21" i="3" s="1"/>
  <c r="O20" i="3"/>
  <c r="O21" i="3" l="1"/>
  <c r="P21" i="3"/>
  <c r="L22" i="3" l="1"/>
  <c r="N22" i="3" s="1"/>
  <c r="S21" i="3"/>
  <c r="Q21" i="3"/>
  <c r="O22" i="3" l="1"/>
  <c r="P22" i="3"/>
  <c r="S22" i="3" l="1"/>
  <c r="L23" i="3"/>
  <c r="N23" i="3" s="1"/>
  <c r="Q22" i="3"/>
  <c r="P23" i="3" l="1"/>
  <c r="L24" i="3" l="1"/>
  <c r="N24" i="3" s="1"/>
  <c r="S23" i="3"/>
  <c r="Q23" i="3"/>
  <c r="O23" i="3"/>
  <c r="O24" i="3" l="1"/>
  <c r="P24" i="3"/>
  <c r="S24" i="3" l="1"/>
  <c r="Q24" i="3"/>
  <c r="L25" i="3"/>
  <c r="N25" i="3" s="1"/>
  <c r="O25" i="3" l="1"/>
  <c r="P25" i="3"/>
  <c r="L26" i="3" l="1"/>
  <c r="N26" i="3" s="1"/>
  <c r="Q25" i="3"/>
  <c r="S25" i="3"/>
  <c r="O26" i="3" l="1"/>
  <c r="P26" i="3"/>
  <c r="Q26" i="3" l="1"/>
  <c r="L27" i="3"/>
  <c r="N27" i="3" s="1"/>
  <c r="S26" i="3"/>
  <c r="P27" i="3" l="1"/>
  <c r="L28" i="3" l="1"/>
  <c r="N28" i="3" s="1"/>
  <c r="Q27" i="3"/>
  <c r="S27" i="3"/>
  <c r="O27" i="3"/>
  <c r="O28" i="3" l="1"/>
  <c r="P28" i="3"/>
  <c r="Q28" i="3" l="1"/>
  <c r="L29" i="3"/>
  <c r="N29" i="3" s="1"/>
  <c r="S28" i="3"/>
  <c r="P29" i="3" l="1"/>
  <c r="L30" i="3" l="1"/>
  <c r="N30" i="3" s="1"/>
  <c r="S29" i="3"/>
  <c r="Q29" i="3"/>
  <c r="O29" i="3"/>
  <c r="O30" i="3" l="1"/>
  <c r="P30" i="3"/>
  <c r="S30" i="3" l="1"/>
  <c r="L31" i="3"/>
  <c r="N31" i="3" s="1"/>
  <c r="Q30" i="3"/>
  <c r="P31" i="3" l="1"/>
  <c r="L32" i="3" l="1"/>
  <c r="N32" i="3" s="1"/>
  <c r="S31" i="3"/>
  <c r="Q31" i="3"/>
  <c r="O31" i="3"/>
  <c r="O32" i="3" l="1"/>
  <c r="P32" i="3"/>
  <c r="S32" i="3" l="1"/>
  <c r="Q32" i="3"/>
  <c r="L33" i="3"/>
  <c r="N33" i="3" s="1"/>
  <c r="O33" i="3" l="1"/>
  <c r="P33" i="3"/>
  <c r="Q33" i="3" l="1"/>
  <c r="L34" i="3"/>
  <c r="N34" i="3" s="1"/>
  <c r="S33" i="3"/>
  <c r="F27" i="1"/>
  <c r="G22" i="1"/>
  <c r="G27" i="1" s="1"/>
  <c r="F32" i="1" l="1"/>
  <c r="F34" i="1"/>
  <c r="F33" i="1"/>
  <c r="G33" i="1" s="1"/>
  <c r="G28" i="1"/>
  <c r="F28" i="1" s="1"/>
  <c r="C4" i="3"/>
  <c r="G32" i="1" l="1"/>
  <c r="F40" i="1"/>
  <c r="G29" i="1"/>
  <c r="E4" i="3"/>
  <c r="C5" i="3"/>
  <c r="F29" i="1"/>
  <c r="F43" i="1" s="1"/>
  <c r="G34" i="1" l="1"/>
  <c r="G40" i="1" s="1"/>
  <c r="G43" i="1"/>
  <c r="C60" i="1"/>
  <c r="E5" i="3"/>
  <c r="C6" i="3"/>
  <c r="F44" i="1"/>
  <c r="F46" i="1" s="1"/>
  <c r="F49" i="1" s="1"/>
  <c r="F52" i="1" s="1"/>
  <c r="G52" i="1" s="1"/>
  <c r="G4" i="3" l="1"/>
  <c r="G5" i="3" s="1"/>
  <c r="G6" i="3" s="1"/>
  <c r="G7" i="3" s="1"/>
  <c r="G8" i="3" s="1"/>
  <c r="G9" i="3" s="1"/>
  <c r="G10" i="3" s="1"/>
  <c r="G11" i="3" s="1"/>
  <c r="G12" i="3" s="1"/>
  <c r="G13" i="3" s="1"/>
  <c r="G14" i="3" s="1"/>
  <c r="G15" i="3" s="1"/>
  <c r="G16" i="3" s="1"/>
  <c r="G17" i="3" s="1"/>
  <c r="G18" i="3" s="1"/>
  <c r="G19" i="3" s="1"/>
  <c r="G20" i="3" s="1"/>
  <c r="G21" i="3" s="1"/>
  <c r="G22" i="3" s="1"/>
  <c r="G23" i="3" s="1"/>
  <c r="G24" i="3" s="1"/>
  <c r="G25" i="3" s="1"/>
  <c r="G26" i="3" s="1"/>
  <c r="G27" i="3" s="1"/>
  <c r="G28" i="3" s="1"/>
  <c r="G29" i="3" s="1"/>
  <c r="G30" i="3" s="1"/>
  <c r="G31" i="3" s="1"/>
  <c r="G32" i="3" s="1"/>
  <c r="G33" i="3" s="1"/>
  <c r="G34" i="3" s="1"/>
  <c r="G44" i="1"/>
  <c r="G46" i="1" s="1"/>
  <c r="G49" i="1" s="1"/>
  <c r="C61" i="1"/>
  <c r="C62" i="1"/>
  <c r="C7" i="3"/>
  <c r="E6" i="3"/>
  <c r="H6" i="3" l="1"/>
  <c r="K6" i="3" s="1"/>
  <c r="F61" i="1"/>
  <c r="H5" i="3"/>
  <c r="W5" i="3" s="1"/>
  <c r="H4" i="3"/>
  <c r="W4" i="3" s="1"/>
  <c r="H54" i="1" s="1"/>
  <c r="E7" i="3"/>
  <c r="H7" i="3" s="1"/>
  <c r="C8" i="3"/>
  <c r="G61" i="1"/>
  <c r="W6" i="3"/>
  <c r="K5" i="3" l="1"/>
  <c r="AM6" i="3" s="1"/>
  <c r="K4" i="3"/>
  <c r="T4" i="3" s="1"/>
  <c r="AA4" i="3" s="1"/>
  <c r="AB4" i="3" s="1"/>
  <c r="AQ7" i="3"/>
  <c r="AM7" i="3"/>
  <c r="AI7" i="3"/>
  <c r="E8" i="3"/>
  <c r="C9" i="3"/>
  <c r="K7" i="3"/>
  <c r="W7" i="3"/>
  <c r="H61" i="1"/>
  <c r="Y6" i="3"/>
  <c r="V6" i="3"/>
  <c r="V5" i="3" l="1"/>
  <c r="X5" i="3" s="1"/>
  <c r="AI6" i="3"/>
  <c r="Y5" i="3"/>
  <c r="AQ6" i="3"/>
  <c r="AI5" i="3"/>
  <c r="AQ5" i="3"/>
  <c r="AM5" i="3"/>
  <c r="AE5" i="3"/>
  <c r="AH19" i="3" s="1"/>
  <c r="C68" i="1" s="1"/>
  <c r="Y4" i="3"/>
  <c r="C67" i="1" s="1"/>
  <c r="V4" i="3"/>
  <c r="X4" i="3" s="1"/>
  <c r="C69" i="1" s="1"/>
  <c r="AC4" i="3"/>
  <c r="AD4" i="3" s="1"/>
  <c r="T5" i="3"/>
  <c r="AC5" i="3" s="1"/>
  <c r="AD5" i="3" s="1"/>
  <c r="AQ8" i="3"/>
  <c r="AM8" i="3"/>
  <c r="AI8" i="3"/>
  <c r="X6" i="3"/>
  <c r="Z6" i="3"/>
  <c r="E9" i="3"/>
  <c r="H9" i="3" s="1"/>
  <c r="C10" i="3"/>
  <c r="Y7" i="3"/>
  <c r="V7" i="3"/>
  <c r="F60" i="1"/>
  <c r="H8" i="3"/>
  <c r="Z5" i="3" l="1"/>
  <c r="Z4" i="3"/>
  <c r="AA5" i="3"/>
  <c r="AB5" i="3" s="1"/>
  <c r="T6" i="3"/>
  <c r="AC6" i="3" s="1"/>
  <c r="AD6" i="3" s="1"/>
  <c r="K8" i="3"/>
  <c r="W8" i="3"/>
  <c r="W9" i="3"/>
  <c r="K9" i="3"/>
  <c r="F62" i="1"/>
  <c r="F67" i="1" s="1"/>
  <c r="Z7" i="3"/>
  <c r="X7" i="3"/>
  <c r="C11" i="3"/>
  <c r="E10" i="3"/>
  <c r="H10" i="3" s="1"/>
  <c r="AA6" i="3" l="1"/>
  <c r="AB6" i="3" s="1"/>
  <c r="T7" i="3"/>
  <c r="AC7" i="3" s="1"/>
  <c r="AD7" i="3" s="1"/>
  <c r="AQ10" i="3"/>
  <c r="AM10" i="3"/>
  <c r="AQ9" i="3"/>
  <c r="AM9" i="3"/>
  <c r="AI9" i="3"/>
  <c r="AL19" i="3" s="1"/>
  <c r="V9" i="3"/>
  <c r="Y9" i="3"/>
  <c r="W10" i="3"/>
  <c r="K10" i="3"/>
  <c r="E11" i="3"/>
  <c r="H11" i="3" s="1"/>
  <c r="C12" i="3"/>
  <c r="V8" i="3"/>
  <c r="Y8" i="3"/>
  <c r="AA7" i="3" l="1"/>
  <c r="AB7" i="3" s="1"/>
  <c r="T8" i="3"/>
  <c r="T9" i="3" s="1"/>
  <c r="F68" i="1"/>
  <c r="AQ11" i="3"/>
  <c r="AM11" i="3"/>
  <c r="K11" i="3"/>
  <c r="W11" i="3"/>
  <c r="V10" i="3"/>
  <c r="Y10" i="3"/>
  <c r="Z8" i="3"/>
  <c r="X8" i="3"/>
  <c r="F69" i="1" s="1"/>
  <c r="E12" i="3"/>
  <c r="H12" i="3" s="1"/>
  <c r="C13" i="3"/>
  <c r="X9" i="3"/>
  <c r="Z9" i="3"/>
  <c r="AC8" i="3" l="1"/>
  <c r="AD8" i="3" s="1"/>
  <c r="AA8" i="3"/>
  <c r="AB8" i="3" s="1"/>
  <c r="AQ12" i="3"/>
  <c r="AM12" i="3"/>
  <c r="K12" i="3"/>
  <c r="W12" i="3"/>
  <c r="Z10" i="3"/>
  <c r="X10" i="3"/>
  <c r="E13" i="3"/>
  <c r="C14" i="3"/>
  <c r="AA9" i="3"/>
  <c r="AB9" i="3" s="1"/>
  <c r="AC9" i="3"/>
  <c r="AD9" i="3" s="1"/>
  <c r="T10" i="3"/>
  <c r="Y11" i="3"/>
  <c r="V11" i="3"/>
  <c r="AQ13" i="3" l="1"/>
  <c r="AM13" i="3"/>
  <c r="X11" i="3"/>
  <c r="Z11" i="3"/>
  <c r="C15" i="3"/>
  <c r="E14" i="3"/>
  <c r="H14" i="3" s="1"/>
  <c r="AA10" i="3"/>
  <c r="AB10" i="3" s="1"/>
  <c r="T11" i="3"/>
  <c r="AC10" i="3"/>
  <c r="AD10" i="3" s="1"/>
  <c r="H13" i="3"/>
  <c r="G60" i="1"/>
  <c r="Y12" i="3"/>
  <c r="V12" i="3"/>
  <c r="W13" i="3" l="1"/>
  <c r="K13" i="3"/>
  <c r="AM14" i="3" s="1"/>
  <c r="AP19" i="3" s="1"/>
  <c r="W14" i="3"/>
  <c r="K14" i="3"/>
  <c r="AQ15" i="3" s="1"/>
  <c r="X12" i="3"/>
  <c r="Z12" i="3"/>
  <c r="E15" i="3"/>
  <c r="H15" i="3" s="1"/>
  <c r="C16" i="3"/>
  <c r="AC11" i="3"/>
  <c r="AD11" i="3" s="1"/>
  <c r="T12" i="3"/>
  <c r="AA11" i="3"/>
  <c r="AB11" i="3" s="1"/>
  <c r="G62" i="1"/>
  <c r="G67" i="1" s="1"/>
  <c r="G68" i="1" l="1"/>
  <c r="AQ14" i="3"/>
  <c r="E16" i="3"/>
  <c r="H16" i="3" s="1"/>
  <c r="C17" i="3"/>
  <c r="V14" i="3"/>
  <c r="Y14" i="3"/>
  <c r="K15" i="3"/>
  <c r="AQ16" i="3" s="1"/>
  <c r="W15" i="3"/>
  <c r="AC12" i="3"/>
  <c r="AD12" i="3" s="1"/>
  <c r="T13" i="3"/>
  <c r="AA12" i="3"/>
  <c r="AB12" i="3" s="1"/>
  <c r="Y13" i="3"/>
  <c r="V13" i="3"/>
  <c r="AC13" i="3" l="1"/>
  <c r="AD13" i="3" s="1"/>
  <c r="T14" i="3"/>
  <c r="AA13" i="3"/>
  <c r="AB13" i="3" s="1"/>
  <c r="Z13" i="3"/>
  <c r="X13" i="3"/>
  <c r="G69" i="1" s="1"/>
  <c r="X14" i="3"/>
  <c r="Z14" i="3"/>
  <c r="E17" i="3"/>
  <c r="H17" i="3" s="1"/>
  <c r="C18" i="3"/>
  <c r="V15" i="3"/>
  <c r="Y15" i="3"/>
  <c r="W16" i="3"/>
  <c r="K16" i="3"/>
  <c r="AQ17" i="3" s="1"/>
  <c r="K17" i="3" l="1"/>
  <c r="AQ18" i="3" s="1"/>
  <c r="W17" i="3"/>
  <c r="Z15" i="3"/>
  <c r="X15" i="3"/>
  <c r="AA14" i="3"/>
  <c r="AB14" i="3" s="1"/>
  <c r="AC14" i="3"/>
  <c r="AD14" i="3" s="1"/>
  <c r="T15" i="3"/>
  <c r="V16" i="3"/>
  <c r="Y16" i="3"/>
  <c r="E18" i="3"/>
  <c r="C19" i="3"/>
  <c r="Z16" i="3" l="1"/>
  <c r="X16" i="3"/>
  <c r="E19" i="3"/>
  <c r="H19" i="3" s="1"/>
  <c r="C20" i="3"/>
  <c r="AA15" i="3"/>
  <c r="AB15" i="3" s="1"/>
  <c r="T16" i="3"/>
  <c r="AC15" i="3"/>
  <c r="AD15" i="3" s="1"/>
  <c r="H18" i="3"/>
  <c r="H60" i="1"/>
  <c r="V17" i="3"/>
  <c r="Y17" i="3"/>
  <c r="K18" i="3" l="1"/>
  <c r="AQ19" i="3" s="1"/>
  <c r="W18" i="3"/>
  <c r="X17" i="3"/>
  <c r="Z17" i="3"/>
  <c r="E20" i="3"/>
  <c r="H20" i="3" s="1"/>
  <c r="C21" i="3"/>
  <c r="K19" i="3"/>
  <c r="W19" i="3"/>
  <c r="AA16" i="3"/>
  <c r="AB16" i="3" s="1"/>
  <c r="T17" i="3"/>
  <c r="AC16" i="3"/>
  <c r="AD16" i="3" s="1"/>
  <c r="H62" i="1"/>
  <c r="H67" i="1" s="1"/>
  <c r="AT19" i="3" l="1"/>
  <c r="H68" i="1" s="1"/>
  <c r="E21" i="3"/>
  <c r="H21" i="3" s="1"/>
  <c r="C22" i="3"/>
  <c r="Y19" i="3"/>
  <c r="V19" i="3"/>
  <c r="AC17" i="3"/>
  <c r="AD17" i="3" s="1"/>
  <c r="AA17" i="3"/>
  <c r="AB17" i="3" s="1"/>
  <c r="T18" i="3"/>
  <c r="K20" i="3"/>
  <c r="W20" i="3"/>
  <c r="V18" i="3"/>
  <c r="Y18" i="3"/>
  <c r="Y20" i="3" l="1"/>
  <c r="V20" i="3"/>
  <c r="X19" i="3"/>
  <c r="Z19" i="3"/>
  <c r="AA18" i="3"/>
  <c r="AB18" i="3" s="1"/>
  <c r="AC18" i="3"/>
  <c r="AD18" i="3" s="1"/>
  <c r="T19" i="3"/>
  <c r="X18" i="3"/>
  <c r="H69" i="1" s="1"/>
  <c r="Z18" i="3"/>
  <c r="E22" i="3"/>
  <c r="H22" i="3" s="1"/>
  <c r="C23" i="3"/>
  <c r="W21" i="3"/>
  <c r="K21" i="3"/>
  <c r="W22" i="3" l="1"/>
  <c r="K22" i="3"/>
  <c r="E23" i="3"/>
  <c r="H23" i="3" s="1"/>
  <c r="C24" i="3"/>
  <c r="AC19" i="3"/>
  <c r="AD19" i="3" s="1"/>
  <c r="T20" i="3"/>
  <c r="AA19" i="3"/>
  <c r="AB19" i="3" s="1"/>
  <c r="Z20" i="3"/>
  <c r="X20" i="3"/>
  <c r="Y21" i="3"/>
  <c r="V21" i="3"/>
  <c r="E24" i="3" l="1"/>
  <c r="H24" i="3" s="1"/>
  <c r="C25" i="3"/>
  <c r="Z21" i="3"/>
  <c r="X21" i="3"/>
  <c r="W23" i="3"/>
  <c r="K23" i="3"/>
  <c r="AA20" i="3"/>
  <c r="AB20" i="3" s="1"/>
  <c r="T21" i="3"/>
  <c r="AC20" i="3"/>
  <c r="AD20" i="3" s="1"/>
  <c r="V22" i="3"/>
  <c r="Y22" i="3"/>
  <c r="AC21" i="3" l="1"/>
  <c r="AD21" i="3" s="1"/>
  <c r="AA21" i="3"/>
  <c r="AB21" i="3" s="1"/>
  <c r="T22" i="3"/>
  <c r="X22" i="3"/>
  <c r="Z22" i="3"/>
  <c r="Y23" i="3"/>
  <c r="V23" i="3"/>
  <c r="E25" i="3"/>
  <c r="H25" i="3" s="1"/>
  <c r="C26" i="3"/>
  <c r="K24" i="3"/>
  <c r="W24" i="3"/>
  <c r="Z23" i="3" l="1"/>
  <c r="X23" i="3"/>
  <c r="W25" i="3"/>
  <c r="K25" i="3"/>
  <c r="AC22" i="3"/>
  <c r="AD22" i="3" s="1"/>
  <c r="AA22" i="3"/>
  <c r="AB22" i="3" s="1"/>
  <c r="T23" i="3"/>
  <c r="V24" i="3"/>
  <c r="Y24" i="3"/>
  <c r="E26" i="3"/>
  <c r="H26" i="3" s="1"/>
  <c r="C27" i="3"/>
  <c r="Y25" i="3" l="1"/>
  <c r="V25" i="3"/>
  <c r="W26" i="3"/>
  <c r="K26" i="3"/>
  <c r="X24" i="3"/>
  <c r="Z24" i="3"/>
  <c r="C28" i="3"/>
  <c r="E27" i="3"/>
  <c r="H27" i="3" s="1"/>
  <c r="AA23" i="3"/>
  <c r="AB23" i="3" s="1"/>
  <c r="AC23" i="3"/>
  <c r="AD23" i="3" s="1"/>
  <c r="T24" i="3"/>
  <c r="V26" i="3" l="1"/>
  <c r="Y26" i="3"/>
  <c r="AC24" i="3"/>
  <c r="AD24" i="3" s="1"/>
  <c r="T25" i="3"/>
  <c r="AA24" i="3"/>
  <c r="AB24" i="3" s="1"/>
  <c r="W27" i="3"/>
  <c r="K27" i="3"/>
  <c r="E28" i="3"/>
  <c r="H28" i="3" s="1"/>
  <c r="C29" i="3"/>
  <c r="X25" i="3"/>
  <c r="Z25" i="3"/>
  <c r="AA25" i="3" l="1"/>
  <c r="AB25" i="3" s="1"/>
  <c r="AC25" i="3"/>
  <c r="AD25" i="3" s="1"/>
  <c r="T26" i="3"/>
  <c r="Y27" i="3"/>
  <c r="V27" i="3"/>
  <c r="W28" i="3"/>
  <c r="K28" i="3"/>
  <c r="E29" i="3"/>
  <c r="H29" i="3" s="1"/>
  <c r="C30" i="3"/>
  <c r="Z26" i="3"/>
  <c r="X26" i="3"/>
  <c r="K29" i="3" l="1"/>
  <c r="W29" i="3"/>
  <c r="Y28" i="3"/>
  <c r="V28" i="3"/>
  <c r="AA26" i="3"/>
  <c r="AB26" i="3" s="1"/>
  <c r="AC26" i="3"/>
  <c r="AD26" i="3" s="1"/>
  <c r="T27" i="3"/>
  <c r="C31" i="3"/>
  <c r="E30" i="3"/>
  <c r="H30" i="3" s="1"/>
  <c r="Z27" i="3"/>
  <c r="X27" i="3"/>
  <c r="E31" i="3" l="1"/>
  <c r="H31" i="3" s="1"/>
  <c r="C32" i="3"/>
  <c r="Z28" i="3"/>
  <c r="X28" i="3"/>
  <c r="AA27" i="3"/>
  <c r="AB27" i="3" s="1"/>
  <c r="AC27" i="3"/>
  <c r="AD27" i="3" s="1"/>
  <c r="T28" i="3"/>
  <c r="W30" i="3"/>
  <c r="K30" i="3"/>
  <c r="V29" i="3"/>
  <c r="Y29" i="3"/>
  <c r="Z29" i="3" l="1"/>
  <c r="X29" i="3"/>
  <c r="C33" i="3"/>
  <c r="E32" i="3"/>
  <c r="H32" i="3" s="1"/>
  <c r="AC28" i="3"/>
  <c r="AD28" i="3" s="1"/>
  <c r="T29" i="3"/>
  <c r="AA28" i="3"/>
  <c r="AB28" i="3" s="1"/>
  <c r="Y30" i="3"/>
  <c r="V30" i="3"/>
  <c r="W31" i="3"/>
  <c r="K31" i="3"/>
  <c r="V31" i="3" l="1"/>
  <c r="Y31" i="3"/>
  <c r="E33" i="3"/>
  <c r="H33" i="3" s="1"/>
  <c r="C34" i="3"/>
  <c r="E34" i="3" s="1"/>
  <c r="H34" i="3" s="1"/>
  <c r="K34" i="3" s="1"/>
  <c r="W32" i="3"/>
  <c r="K32" i="3"/>
  <c r="AA29" i="3"/>
  <c r="AB29" i="3" s="1"/>
  <c r="AC29" i="3"/>
  <c r="AD29" i="3" s="1"/>
  <c r="T30" i="3"/>
  <c r="X30" i="3"/>
  <c r="Z30" i="3"/>
  <c r="Y32" i="3" l="1"/>
  <c r="V32" i="3"/>
  <c r="W33" i="3"/>
  <c r="K33" i="3"/>
  <c r="AA30" i="3"/>
  <c r="AB30" i="3" s="1"/>
  <c r="AC30" i="3"/>
  <c r="AD30" i="3" s="1"/>
  <c r="T31" i="3"/>
  <c r="X31" i="3"/>
  <c r="Z31" i="3"/>
  <c r="V33" i="3" l="1"/>
  <c r="Y33" i="3"/>
  <c r="T32" i="3"/>
  <c r="AA31" i="3"/>
  <c r="AB31" i="3" s="1"/>
  <c r="AC31" i="3"/>
  <c r="AD31" i="3" s="1"/>
  <c r="X32" i="3"/>
  <c r="Z32" i="3"/>
  <c r="AC32" i="3" l="1"/>
  <c r="AD32" i="3" s="1"/>
  <c r="T33" i="3"/>
  <c r="AA32" i="3"/>
  <c r="AB32" i="3" s="1"/>
  <c r="X33" i="3"/>
  <c r="Z33" i="3"/>
  <c r="AC33" i="3" l="1"/>
  <c r="AD33" i="3" s="1"/>
  <c r="AA33" i="3"/>
  <c r="AB3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66" authorId="0" shapeId="0" xr:uid="{00000000-0006-0000-0100-000001000000}">
      <text>
        <r>
          <rPr>
            <b/>
            <sz val="9"/>
            <color indexed="81"/>
            <rFont val="Tahoma"/>
            <family val="2"/>
          </rPr>
          <t>Windows User:</t>
        </r>
        <r>
          <rPr>
            <sz val="9"/>
            <color indexed="81"/>
            <rFont val="Tahoma"/>
            <family val="2"/>
          </rPr>
          <t xml:space="preserve">
Total Profit if Sold = 
(Property Value - Mortgage Balance -Total Cash Invested) - (Property Value x 8% cost to sell).</t>
        </r>
      </text>
    </comment>
    <comment ref="B68" authorId="0" shapeId="0" xr:uid="{343BC161-7422-4249-B2E9-971AB95B0F37}">
      <text>
        <r>
          <rPr>
            <b/>
            <sz val="9"/>
            <color indexed="81"/>
            <rFont val="Tahoma"/>
            <family val="2"/>
          </rPr>
          <t>Windows User:</t>
        </r>
        <r>
          <rPr>
            <sz val="9"/>
            <color indexed="81"/>
            <rFont val="Tahoma"/>
            <family val="2"/>
          </rPr>
          <t xml:space="preserve">
IRR Calculation assumes home is sold at years 5, 10, and 15 respectively.</t>
        </r>
      </text>
    </comment>
    <comment ref="B69" authorId="0" shapeId="0" xr:uid="{00000000-0006-0000-0100-000003000000}">
      <text>
        <r>
          <rPr>
            <sz val="9"/>
            <color indexed="81"/>
            <rFont val="Tahoma"/>
            <family val="2"/>
          </rPr>
          <t xml:space="preserve">Calculation =
(Annual Debt Pay Down + Annual Appreciation + Annual Cash Flow)/ (Total Cash In)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jpapasan</author>
  </authors>
  <commentList>
    <comment ref="B3" authorId="0" shapeId="0" xr:uid="{00000000-0006-0000-0300-000002000000}">
      <text>
        <r>
          <rPr>
            <b/>
            <sz val="9"/>
            <color indexed="81"/>
            <rFont val="Tahoma"/>
            <family val="2"/>
          </rPr>
          <t xml:space="preserve">Rate from Analysis Worksheet Cell C57
</t>
        </r>
      </text>
    </comment>
    <comment ref="D3" authorId="0" shapeId="0" xr:uid="{00000000-0006-0000-0300-000003000000}">
      <text>
        <r>
          <rPr>
            <b/>
            <sz val="9"/>
            <color indexed="81"/>
            <rFont val="Tahoma"/>
            <family val="2"/>
          </rPr>
          <t xml:space="preserve">Rate from Analysis Worksheet Cell C28
</t>
        </r>
      </text>
    </comment>
    <comment ref="E3" authorId="0" shapeId="0" xr:uid="{00000000-0006-0000-0300-000004000000}">
      <text>
        <r>
          <rPr>
            <b/>
            <sz val="9"/>
            <color indexed="81"/>
            <rFont val="Tahoma"/>
            <family val="2"/>
          </rPr>
          <t>jpapasan:</t>
        </r>
        <r>
          <rPr>
            <sz val="9"/>
            <color indexed="81"/>
            <rFont val="Tahoma"/>
            <family val="2"/>
          </rPr>
          <t xml:space="preserve">
Gross Rent - Vacancy</t>
        </r>
      </text>
    </comment>
    <comment ref="K3" authorId="0" shapeId="0" xr:uid="{00000000-0006-0000-0300-000006000000}">
      <text>
        <r>
          <rPr>
            <b/>
            <sz val="9"/>
            <color indexed="81"/>
            <rFont val="Tahoma"/>
            <family val="2"/>
          </rPr>
          <t>jpapasan:</t>
        </r>
        <r>
          <rPr>
            <sz val="9"/>
            <color indexed="81"/>
            <rFont val="Tahoma"/>
            <family val="2"/>
          </rPr>
          <t xml:space="preserve">
Net Operating Income - Debt Pay Down - Interest Paid</t>
        </r>
      </text>
    </comment>
    <comment ref="V3" authorId="0" shapeId="0" xr:uid="{00000000-0006-0000-0300-000007000000}">
      <text>
        <r>
          <rPr>
            <b/>
            <sz val="9"/>
            <color indexed="81"/>
            <rFont val="Tahoma"/>
            <family val="2"/>
          </rPr>
          <t>jpapasan:</t>
        </r>
        <r>
          <rPr>
            <sz val="9"/>
            <color indexed="81"/>
            <rFont val="Tahoma"/>
            <family val="2"/>
          </rPr>
          <t xml:space="preserve">
Annual Debt Pay Down + Annual Appreciation + Annual Cash Flow</t>
        </r>
      </text>
    </comment>
    <comment ref="X3" authorId="0" shapeId="0" xr:uid="{00000000-0006-0000-0300-000008000000}">
      <text>
        <r>
          <rPr>
            <b/>
            <sz val="9"/>
            <color indexed="81"/>
            <rFont val="Tahoma"/>
            <family val="2"/>
          </rPr>
          <t>jpapasan:</t>
        </r>
        <r>
          <rPr>
            <sz val="9"/>
            <color indexed="81"/>
            <rFont val="Tahoma"/>
            <family val="2"/>
          </rPr>
          <t xml:space="preserve">
Annual ROI for Debt Pay Down + Appreciation + Cash Flow / Total Cash In</t>
        </r>
      </text>
    </comment>
    <comment ref="Y3" authorId="0" shapeId="0" xr:uid="{00000000-0006-0000-0300-000009000000}">
      <text>
        <r>
          <rPr>
            <b/>
            <sz val="9"/>
            <color indexed="81"/>
            <rFont val="Tahoma"/>
            <family val="2"/>
          </rPr>
          <t>jpapasan:</t>
        </r>
        <r>
          <rPr>
            <sz val="9"/>
            <color indexed="81"/>
            <rFont val="Tahoma"/>
            <family val="2"/>
          </rPr>
          <t xml:space="preserve">
Cash Flow only</t>
        </r>
      </text>
    </comment>
    <comment ref="Z3" authorId="0" shapeId="0" xr:uid="{00000000-0006-0000-0300-00000A000000}">
      <text>
        <r>
          <rPr>
            <b/>
            <sz val="9"/>
            <color indexed="81"/>
            <rFont val="Tahoma"/>
            <family val="2"/>
          </rPr>
          <t>jpapasan:</t>
        </r>
        <r>
          <rPr>
            <sz val="9"/>
            <color indexed="81"/>
            <rFont val="Tahoma"/>
            <family val="2"/>
          </rPr>
          <t xml:space="preserve">
How hard is the money you have in Property working?
Return on Equity
 for Debt Pay Down + Appreciation + Cash Flow</t>
        </r>
      </text>
    </comment>
    <comment ref="AA3" authorId="0" shapeId="0" xr:uid="{00000000-0006-0000-0300-00000B000000}">
      <text>
        <r>
          <rPr>
            <b/>
            <sz val="9"/>
            <color indexed="81"/>
            <rFont val="Tahoma"/>
            <family val="2"/>
          </rPr>
          <t>jpapasan:</t>
        </r>
        <r>
          <rPr>
            <sz val="9"/>
            <color indexed="81"/>
            <rFont val="Tahoma"/>
            <family val="2"/>
          </rPr>
          <t xml:space="preserve">
Equity (after COS) + Acc Cash Flow - Total Cash In</t>
        </r>
      </text>
    </comment>
    <comment ref="AC3" authorId="0" shapeId="0" xr:uid="{00000000-0006-0000-0300-00000C000000}">
      <text>
        <r>
          <rPr>
            <b/>
            <sz val="9"/>
            <color indexed="81"/>
            <rFont val="Tahoma"/>
            <family val="2"/>
          </rPr>
          <t>jpapasan:</t>
        </r>
        <r>
          <rPr>
            <sz val="9"/>
            <color indexed="81"/>
            <rFont val="Tahoma"/>
            <family val="2"/>
          </rPr>
          <t xml:space="preserve">
Equity (after COS) + Acc Cash Flow - Total Cash In</t>
        </r>
      </text>
    </comment>
  </commentList>
</comments>
</file>

<file path=xl/sharedStrings.xml><?xml version="1.0" encoding="utf-8"?>
<sst xmlns="http://schemas.openxmlformats.org/spreadsheetml/2006/main" count="193" uniqueCount="133">
  <si>
    <t>Property Analysis Worksheet</t>
  </si>
  <si>
    <t>Client Name:</t>
  </si>
  <si>
    <t>Prepared By:</t>
  </si>
  <si>
    <t>List Price:</t>
  </si>
  <si>
    <t>Purchase Terms</t>
  </si>
  <si>
    <t>1. Fair Market Value:</t>
  </si>
  <si>
    <t>%</t>
  </si>
  <si>
    <t>Discount %</t>
  </si>
  <si>
    <t>Purchase Price (max offer price)</t>
  </si>
  <si>
    <t>Percent Down</t>
  </si>
  <si>
    <t>Down Payment Amount</t>
  </si>
  <si>
    <t>Amount Financed</t>
  </si>
  <si>
    <t>Interest Rate</t>
  </si>
  <si>
    <t>Closing Costs (2%)</t>
  </si>
  <si>
    <t>Cost of Repairs (make-ready)</t>
  </si>
  <si>
    <t>Total Cash Invested</t>
  </si>
  <si>
    <t>Length of Mortgage (years)</t>
  </si>
  <si>
    <t>Payments Per Year</t>
  </si>
  <si>
    <t>Monthly</t>
  </si>
  <si>
    <t>Annual</t>
  </si>
  <si>
    <r>
      <t xml:space="preserve">This spreadsheet is a model for informational purposes only. It is not meant nor designed to represent what will happen with regards to interest rates, appreciation, rents or vacancy. It is not meant to be a substitute for your own judgement. Neither KellerINK nor the </t>
    </r>
    <r>
      <rPr>
        <i/>
        <sz val="12"/>
        <rFont val="Gill Sans MT"/>
        <family val="2"/>
      </rPr>
      <t xml:space="preserve">HOLD </t>
    </r>
    <r>
      <rPr>
        <sz val="12"/>
        <rFont val="Gill Sans MT"/>
        <family val="2"/>
      </rPr>
      <t xml:space="preserve">authors are responsible for errors. </t>
    </r>
  </si>
  <si>
    <t>Mortgage Payment</t>
  </si>
  <si>
    <t>Operating Budget</t>
  </si>
  <si>
    <t>II. Rental Income</t>
  </si>
  <si>
    <t>Unit A</t>
  </si>
  <si>
    <t>+</t>
  </si>
  <si>
    <t>Unit B</t>
  </si>
  <si>
    <t>Unit C</t>
  </si>
  <si>
    <t>Unit D</t>
  </si>
  <si>
    <t>Gross Rental Income</t>
  </si>
  <si>
    <t>=</t>
  </si>
  <si>
    <t>Vacancy Rate (5%)</t>
  </si>
  <si>
    <t>-</t>
  </si>
  <si>
    <t>Net Rental Income</t>
  </si>
  <si>
    <t>III. Expenses</t>
  </si>
  <si>
    <t>Property Management Fees (10%)</t>
  </si>
  <si>
    <t>Leasing Costs (50% of 1 month rent)</t>
  </si>
  <si>
    <t>Maintenance Reserve (5%)</t>
  </si>
  <si>
    <t>Utilities ($15/mo)</t>
  </si>
  <si>
    <t>Property Taxes (2%)</t>
  </si>
  <si>
    <t>Insurance (.5%)</t>
  </si>
  <si>
    <t>Other (HOA fees, lawn care, etc.)</t>
  </si>
  <si>
    <t>Total Expenses</t>
  </si>
  <si>
    <t>IV. Net Operating Income (NOI)</t>
  </si>
  <si>
    <t>NOI</t>
  </si>
  <si>
    <t>V. Net Cash Flow</t>
  </si>
  <si>
    <t>Net Cash Flow</t>
  </si>
  <si>
    <t>Analysis</t>
  </si>
  <si>
    <t xml:space="preserve">VI. Investment Analysis*                                    </t>
  </si>
  <si>
    <t>Pro Forma Cap Rate:</t>
  </si>
  <si>
    <t>*Annual Growth Assumptions</t>
  </si>
  <si>
    <t>Expenses</t>
  </si>
  <si>
    <t>Income</t>
  </si>
  <si>
    <t>Property Value</t>
  </si>
  <si>
    <t>Year 1</t>
  </si>
  <si>
    <t>Year 5</t>
  </si>
  <si>
    <t>Year 10</t>
  </si>
  <si>
    <t>Year 15</t>
  </si>
  <si>
    <t>Total Annual Income</t>
  </si>
  <si>
    <t>Total Annual Expenses</t>
  </si>
  <si>
    <t>Total Annual Cash Flow</t>
  </si>
  <si>
    <t>Equity</t>
  </si>
  <si>
    <t>Loan Balance</t>
  </si>
  <si>
    <t>Total Profit if Sold</t>
  </si>
  <si>
    <t>Cash on Cash ROI</t>
  </si>
  <si>
    <t>IRR</t>
  </si>
  <si>
    <t>Annualized Total Return</t>
  </si>
  <si>
    <t>Loan Amount</t>
  </si>
  <si>
    <t># of Periods</t>
  </si>
  <si>
    <t>Period #</t>
  </si>
  <si>
    <t>Principal</t>
  </si>
  <si>
    <t>Interest</t>
  </si>
  <si>
    <t>Total Mortgage Debt</t>
  </si>
  <si>
    <t>Total Debt Pay Down</t>
  </si>
  <si>
    <t>Annual Debt Pay Down</t>
  </si>
  <si>
    <t>Year</t>
  </si>
  <si>
    <t>Investment Return over Time</t>
  </si>
  <si>
    <t>Rent Appreciation Rate</t>
  </si>
  <si>
    <t>Gross Rents (Adjusted for Inflation)</t>
  </si>
  <si>
    <t>Vacancy</t>
  </si>
  <si>
    <t>Net Rental Income (Annual)</t>
  </si>
  <si>
    <t>Expenses Appreciation Rate</t>
  </si>
  <si>
    <t>Annual Expenses (Adjusted for Inflation)</t>
  </si>
  <si>
    <t>Net Operating Income (Annual)</t>
  </si>
  <si>
    <t>Annual Debt Pay Down (Principle Paid)</t>
  </si>
  <si>
    <t>Accumulated Debt Pay Down</t>
  </si>
  <si>
    <t>Annual Net Cash Flow (Annual)</t>
  </si>
  <si>
    <t>Property Value (Start of  Year)</t>
  </si>
  <si>
    <t>Property Value Appreciation Rate</t>
  </si>
  <si>
    <t>Annual Appreciation (Value)</t>
  </si>
  <si>
    <t>Accumulated Appreciation</t>
  </si>
  <si>
    <t>Property Value (EOY)</t>
  </si>
  <si>
    <t>Cost of Sale (COS)</t>
  </si>
  <si>
    <t>Accumulated Cash Flow</t>
  </si>
  <si>
    <t>Total Cash In</t>
  </si>
  <si>
    <t>Annual Total Return (Before COS)</t>
  </si>
  <si>
    <t>CAP Rate</t>
  </si>
  <si>
    <t>Total ROI (Annual)</t>
  </si>
  <si>
    <t>Cash on Cash ROI (Annual)</t>
  </si>
  <si>
    <t>Total Return on Equity (After COS)</t>
  </si>
  <si>
    <t>Accumulated  Total Return (Accumlated Debt Pay Down, Cash Flow &amp; Appreciation)</t>
  </si>
  <si>
    <t>Total ROI Based on Acc.Total Return</t>
  </si>
  <si>
    <t>Accumulated  Total Return (after COS)</t>
  </si>
  <si>
    <t>Total ROI on Acc.Total Return (after COS)</t>
  </si>
  <si>
    <t>IRR (assuming sale at end of each period)</t>
  </si>
  <si>
    <t>total cash invested</t>
  </si>
  <si>
    <t>yr1 cash flow + net</t>
  </si>
  <si>
    <t>Sale price</t>
  </si>
  <si>
    <t>yr1 cash flow</t>
  </si>
  <si>
    <t>minus COS</t>
  </si>
  <si>
    <t>yr2</t>
  </si>
  <si>
    <t>Net</t>
  </si>
  <si>
    <t>yr3</t>
  </si>
  <si>
    <t>yr4</t>
  </si>
  <si>
    <t>yr5 plus net</t>
  </si>
  <si>
    <t>yr5</t>
  </si>
  <si>
    <t>yr6</t>
  </si>
  <si>
    <t>yr7</t>
  </si>
  <si>
    <t>yr8</t>
  </si>
  <si>
    <t>yr9</t>
  </si>
  <si>
    <t>yr10 plus net</t>
  </si>
  <si>
    <t>yr10</t>
  </si>
  <si>
    <t>yr11</t>
  </si>
  <si>
    <t>yr12</t>
  </si>
  <si>
    <t>yr13</t>
  </si>
  <si>
    <t>yr14</t>
  </si>
  <si>
    <t>IRR YR 1</t>
  </si>
  <si>
    <t>IRR YR 5</t>
  </si>
  <si>
    <t>IRR YR 10</t>
  </si>
  <si>
    <t>yr15 plus net</t>
  </si>
  <si>
    <t>IRR YR 15</t>
  </si>
  <si>
    <t xml:space="preserve">This spreadsheet is a model for informational purposes only. It is not meant nor designed to represent what will happen with regards to interest rates, appreciation, rents or vacancy. It is not meant to be a substitute for your own judgement. Neither the broker nor the agent is responsible for errors. </t>
  </si>
  <si>
    <t>Property Address:  Test 123 Main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</si>
</sst>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quot; &quot;* #,##0.00&quot; &quot;;&quot; &quot;* \(#,##0.00\);&quot; &quot;* &quot;-&quot;??&quot; &quot;"/>
    <numFmt numFmtId="167" formatCode="&quot; &quot;* #,##0&quot; &quot;;&quot; &quot;* \(#,##0\);&quot; &quot;* &quot;-&quot;??&quot; &quot;"/>
    <numFmt numFmtId="168" formatCode="\ * #,##0\ ;\ * \(#,##0\);\ * &quot;-&quot;??\ "/>
    <numFmt numFmtId="169" formatCode="_(&quot;$&quot;* #,##0_);_(&quot;$&quot;* \(#,##0\);_(&quot;$&quot;* &quot;-&quot;??_);_(@_)"/>
    <numFmt numFmtId="170" formatCode="0.0%"/>
    <numFmt numFmtId="171" formatCode="&quot;$&quot;#,##0;[Red]&quot;$&quot;#,##0"/>
    <numFmt numFmtId="172" formatCode="0.00_);[Red]\(0.00\)"/>
  </numFmts>
  <fonts count="26">
    <font>
      <sz val="10"/>
      <name val="Arial"/>
    </font>
    <font>
      <sz val="10"/>
      <name val="Arial"/>
      <family val="2"/>
    </font>
    <font>
      <sz val="12"/>
      <name val="Gill Sans MT"/>
      <family val="2"/>
    </font>
    <font>
      <sz val="8"/>
      <name val="Arial"/>
      <family val="2"/>
    </font>
    <font>
      <b/>
      <sz val="12"/>
      <name val="Gill Sans MT"/>
      <family val="2"/>
    </font>
    <font>
      <sz val="24"/>
      <color indexed="9"/>
      <name val="Gill Sans MT"/>
      <family val="2"/>
    </font>
    <font>
      <sz val="24"/>
      <color indexed="9"/>
      <name val="Arial"/>
      <family val="2"/>
    </font>
    <font>
      <sz val="22"/>
      <color indexed="9"/>
      <name val="Gill Sans MT"/>
      <family val="2"/>
    </font>
    <font>
      <sz val="22"/>
      <color indexed="9"/>
      <name val="Arial"/>
      <family val="2"/>
    </font>
    <font>
      <b/>
      <sz val="12"/>
      <color indexed="8"/>
      <name val="Gill Sans MT"/>
      <family val="2"/>
    </font>
    <font>
      <b/>
      <sz val="10"/>
      <name val="Arial"/>
      <family val="2"/>
    </font>
    <font>
      <sz val="10"/>
      <color indexed="8"/>
      <name val="Arial"/>
      <family val="2"/>
    </font>
    <font>
      <sz val="11"/>
      <color indexed="8"/>
      <name val="Helvetica Neue"/>
    </font>
    <font>
      <sz val="9"/>
      <color indexed="81"/>
      <name val="Tahoma"/>
      <family val="2"/>
    </font>
    <font>
      <b/>
      <sz val="9"/>
      <color indexed="81"/>
      <name val="Tahoma"/>
      <family val="2"/>
    </font>
    <font>
      <sz val="12"/>
      <name val="Arial"/>
      <family val="2"/>
    </font>
    <font>
      <i/>
      <sz val="12"/>
      <name val="Gill Sans MT"/>
      <family val="2"/>
    </font>
    <font>
      <b/>
      <sz val="12"/>
      <name val="Arial"/>
      <family val="2"/>
    </font>
    <font>
      <sz val="10"/>
      <name val="Arial"/>
      <family val="2"/>
    </font>
    <font>
      <b/>
      <i/>
      <sz val="12"/>
      <name val="Arial"/>
      <family val="2"/>
    </font>
    <font>
      <b/>
      <sz val="11"/>
      <name val="Helvetica Neue"/>
    </font>
    <font>
      <sz val="12"/>
      <color theme="1"/>
      <name val="Gill Sans MT"/>
      <family val="2"/>
    </font>
    <font>
      <b/>
      <sz val="10"/>
      <name val="Arial"/>
      <family val="2"/>
    </font>
    <font>
      <sz val="10"/>
      <name val="Gill Sans MT"/>
      <family val="2"/>
    </font>
    <font>
      <b/>
      <sz val="10"/>
      <name val="Gill Sans MT"/>
      <family val="2"/>
    </font>
    <font>
      <b/>
      <sz val="12"/>
      <color rgb="FFFF0000"/>
      <name val="Arial"/>
      <family val="2"/>
    </font>
  </fonts>
  <fills count="11">
    <fill>
      <patternFill patternType="none"/>
    </fill>
    <fill>
      <patternFill patternType="gray125"/>
    </fill>
    <fill>
      <patternFill patternType="solid">
        <fgColor indexed="9"/>
      </patternFill>
    </fill>
    <fill>
      <patternFill patternType="solid">
        <fgColor indexed="9"/>
        <bgColor indexed="64"/>
      </patternFill>
    </fill>
    <fill>
      <patternFill patternType="solid">
        <fgColor indexed="55"/>
        <bgColor indexed="64"/>
      </patternFill>
    </fill>
    <fill>
      <patternFill patternType="solid">
        <fgColor indexed="63"/>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92D050"/>
        <bgColor indexed="64"/>
      </patternFill>
    </fill>
    <fill>
      <patternFill patternType="solid">
        <fgColor theme="0" tint="-4.9989318521683403E-2"/>
        <bgColor indexed="64"/>
      </patternFill>
    </fill>
  </fills>
  <borders count="4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1">
    <xf numFmtId="0" fontId="0" fillId="0" borderId="0" xfId="0"/>
    <xf numFmtId="0" fontId="2" fillId="0" borderId="0" xfId="0" applyFont="1"/>
    <xf numFmtId="0" fontId="2" fillId="0" borderId="1" xfId="0" applyFont="1" applyBorder="1"/>
    <xf numFmtId="0" fontId="2" fillId="0" borderId="0" xfId="0" applyFont="1" applyAlignment="1">
      <alignment horizontal="right"/>
    </xf>
    <xf numFmtId="0" fontId="2" fillId="0" borderId="2" xfId="0" applyFont="1" applyBorder="1"/>
    <xf numFmtId="0" fontId="2" fillId="0" borderId="3" xfId="0" applyFont="1" applyBorder="1"/>
    <xf numFmtId="0" fontId="2" fillId="0" borderId="4" xfId="0" applyFont="1" applyBorder="1"/>
    <xf numFmtId="43" fontId="2" fillId="0" borderId="0" xfId="0" applyNumberFormat="1" applyFont="1"/>
    <xf numFmtId="0" fontId="9" fillId="3" borderId="5" xfId="0" applyFont="1" applyFill="1" applyBorder="1" applyAlignment="1">
      <alignment vertical="center"/>
    </xf>
    <xf numFmtId="0" fontId="9" fillId="3" borderId="6" xfId="0" applyFont="1" applyFill="1" applyBorder="1"/>
    <xf numFmtId="0" fontId="4" fillId="0" borderId="5" xfId="0" applyFont="1" applyBorder="1" applyAlignment="1">
      <alignment vertical="center"/>
    </xf>
    <xf numFmtId="0" fontId="9" fillId="3" borderId="5" xfId="0" applyFont="1" applyFill="1" applyBorder="1"/>
    <xf numFmtId="0" fontId="2" fillId="0" borderId="0" xfId="0" applyFont="1" applyAlignment="1">
      <alignment horizontal="left" vertical="center"/>
    </xf>
    <xf numFmtId="0" fontId="4" fillId="0" borderId="6" xfId="0" applyFont="1" applyBorder="1" applyAlignment="1">
      <alignment horizontal="left"/>
    </xf>
    <xf numFmtId="0" fontId="2" fillId="0" borderId="9" xfId="0" applyFont="1" applyBorder="1" applyAlignment="1">
      <alignment horizontal="left"/>
    </xf>
    <xf numFmtId="0" fontId="2" fillId="0" borderId="1" xfId="0" applyFont="1" applyBorder="1" applyAlignment="1">
      <alignment horizontal="left"/>
    </xf>
    <xf numFmtId="43" fontId="2" fillId="0" borderId="10" xfId="0" applyNumberFormat="1" applyFont="1" applyBorder="1"/>
    <xf numFmtId="43" fontId="2" fillId="0" borderId="11" xfId="0" applyNumberFormat="1" applyFont="1" applyBorder="1"/>
    <xf numFmtId="43" fontId="2" fillId="0" borderId="12" xfId="0" applyNumberFormat="1" applyFont="1" applyBorder="1"/>
    <xf numFmtId="0" fontId="9" fillId="3" borderId="6" xfId="0" applyFont="1" applyFill="1" applyBorder="1" applyAlignment="1">
      <alignment vertical="center"/>
    </xf>
    <xf numFmtId="0" fontId="9" fillId="3" borderId="7" xfId="0" applyFont="1" applyFill="1" applyBorder="1" applyAlignment="1">
      <alignment vertical="center"/>
    </xf>
    <xf numFmtId="0" fontId="2" fillId="0" borderId="13" xfId="0" applyFont="1" applyBorder="1"/>
    <xf numFmtId="164" fontId="2" fillId="0" borderId="11" xfId="0" applyNumberFormat="1" applyFont="1" applyBorder="1" applyAlignment="1">
      <alignment horizontal="left" vertical="center"/>
    </xf>
    <xf numFmtId="164" fontId="2" fillId="0" borderId="0" xfId="0" applyNumberFormat="1" applyFont="1"/>
    <xf numFmtId="164" fontId="2" fillId="0" borderId="11" xfId="0" applyNumberFormat="1" applyFont="1" applyBorder="1"/>
    <xf numFmtId="164" fontId="2" fillId="0" borderId="14" xfId="0" applyNumberFormat="1" applyFont="1" applyBorder="1"/>
    <xf numFmtId="8" fontId="2" fillId="0" borderId="0" xfId="0" applyNumberFormat="1" applyFont="1" applyAlignment="1">
      <alignment horizontal="center" vertical="center"/>
    </xf>
    <xf numFmtId="10" fontId="2" fillId="0" borderId="0" xfId="0" applyNumberFormat="1" applyFont="1" applyAlignment="1">
      <alignment horizontal="center" vertical="center"/>
    </xf>
    <xf numFmtId="0" fontId="4" fillId="0" borderId="1" xfId="0" applyFont="1" applyBorder="1" applyAlignment="1">
      <alignment horizontal="left"/>
    </xf>
    <xf numFmtId="0" fontId="4" fillId="0" borderId="0" xfId="0" applyFont="1"/>
    <xf numFmtId="0" fontId="4" fillId="0" borderId="1" xfId="0" applyFont="1" applyBorder="1"/>
    <xf numFmtId="164" fontId="4" fillId="0" borderId="0" xfId="0" applyNumberFormat="1" applyFont="1" applyAlignment="1">
      <alignment horizontal="left" vertical="center"/>
    </xf>
    <xf numFmtId="8" fontId="4" fillId="7" borderId="15" xfId="0" applyNumberFormat="1" applyFont="1" applyFill="1" applyBorder="1" applyAlignment="1">
      <alignment horizontal="left" vertical="center"/>
    </xf>
    <xf numFmtId="8" fontId="4" fillId="7" borderId="16" xfId="0" applyNumberFormat="1" applyFont="1" applyFill="1" applyBorder="1" applyAlignment="1">
      <alignment horizontal="left" vertical="center"/>
    </xf>
    <xf numFmtId="0" fontId="2" fillId="0" borderId="15" xfId="0" applyFont="1" applyBorder="1" applyAlignment="1">
      <alignment horizontal="left" vertical="center"/>
    </xf>
    <xf numFmtId="6" fontId="2" fillId="0" borderId="15" xfId="0" applyNumberFormat="1" applyFont="1" applyBorder="1" applyAlignment="1">
      <alignment horizontal="left" vertical="center"/>
    </xf>
    <xf numFmtId="8" fontId="2" fillId="0" borderId="15" xfId="0" applyNumberFormat="1" applyFont="1" applyBorder="1" applyAlignment="1">
      <alignment horizontal="left" vertical="center"/>
    </xf>
    <xf numFmtId="0" fontId="2" fillId="0" borderId="13" xfId="0" applyFont="1" applyBorder="1" applyAlignment="1">
      <alignment horizontal="right"/>
    </xf>
    <xf numFmtId="43" fontId="2" fillId="0" borderId="14" xfId="0" applyNumberFormat="1" applyFont="1" applyBorder="1"/>
    <xf numFmtId="164" fontId="2" fillId="0" borderId="0" xfId="0" applyNumberFormat="1" applyFont="1" applyAlignment="1">
      <alignment horizontal="right"/>
    </xf>
    <xf numFmtId="164" fontId="4" fillId="7" borderId="0" xfId="0" applyNumberFormat="1" applyFont="1" applyFill="1"/>
    <xf numFmtId="164" fontId="4" fillId="7" borderId="11" xfId="0" applyNumberFormat="1" applyFont="1" applyFill="1" applyBorder="1"/>
    <xf numFmtId="0" fontId="2" fillId="0" borderId="0" xfId="0" applyFont="1" applyAlignment="1">
      <alignment horizontal="center" vertical="center"/>
    </xf>
    <xf numFmtId="0" fontId="4" fillId="0" borderId="0" xfId="0" applyFont="1" applyAlignment="1">
      <alignment horizontal="center" vertical="center"/>
    </xf>
    <xf numFmtId="0" fontId="2" fillId="0" borderId="13" xfId="0" applyFont="1" applyBorder="1" applyAlignment="1">
      <alignment horizontal="center" vertical="center"/>
    </xf>
    <xf numFmtId="43" fontId="2" fillId="0" borderId="14" xfId="0" applyNumberFormat="1" applyFont="1" applyBorder="1" applyAlignment="1">
      <alignment horizontal="center" vertical="center"/>
    </xf>
    <xf numFmtId="164" fontId="2" fillId="0" borderId="0" xfId="0" applyNumberFormat="1" applyFont="1" applyAlignment="1">
      <alignment horizontal="center" vertical="center"/>
    </xf>
    <xf numFmtId="164" fontId="2" fillId="0" borderId="11" xfId="0" applyNumberFormat="1" applyFont="1" applyBorder="1" applyAlignment="1">
      <alignment horizontal="center" vertical="center"/>
    </xf>
    <xf numFmtId="164" fontId="4" fillId="7" borderId="0" xfId="0" applyNumberFormat="1" applyFont="1" applyFill="1" applyAlignment="1">
      <alignment horizontal="center" vertical="center"/>
    </xf>
    <xf numFmtId="164" fontId="4" fillId="7" borderId="11" xfId="0" applyNumberFormat="1" applyFont="1" applyFill="1" applyBorder="1" applyAlignment="1">
      <alignment horizontal="center" vertical="center"/>
    </xf>
    <xf numFmtId="0" fontId="9" fillId="0" borderId="0" xfId="0" applyFont="1" applyAlignment="1">
      <alignment vertical="center"/>
    </xf>
    <xf numFmtId="164" fontId="4" fillId="0" borderId="0" xfId="0" applyNumberFormat="1" applyFont="1"/>
    <xf numFmtId="43" fontId="2" fillId="0" borderId="0" xfId="0" applyNumberFormat="1" applyFont="1" applyAlignment="1">
      <alignment horizontal="center" vertical="center"/>
    </xf>
    <xf numFmtId="164" fontId="4" fillId="0" borderId="0" xfId="0" applyNumberFormat="1" applyFont="1" applyAlignment="1">
      <alignment horizontal="center" vertical="center"/>
    </xf>
    <xf numFmtId="0" fontId="21" fillId="0" borderId="3" xfId="0" applyFont="1" applyBorder="1" applyAlignment="1">
      <alignment horizontal="left" vertical="center"/>
    </xf>
    <xf numFmtId="7" fontId="2" fillId="0" borderId="0" xfId="0" applyNumberFormat="1" applyFont="1"/>
    <xf numFmtId="8" fontId="2" fillId="0" borderId="0" xfId="0" applyNumberFormat="1" applyFont="1"/>
    <xf numFmtId="164" fontId="2" fillId="0" borderId="15" xfId="0" applyNumberFormat="1" applyFont="1" applyBorder="1" applyAlignment="1">
      <alignment horizontal="left" vertical="center"/>
    </xf>
    <xf numFmtId="49" fontId="11" fillId="2" borderId="25" xfId="0" applyNumberFormat="1" applyFont="1" applyFill="1" applyBorder="1"/>
    <xf numFmtId="166" fontId="11" fillId="2" borderId="25" xfId="0" applyNumberFormat="1" applyFont="1" applyFill="1" applyBorder="1"/>
    <xf numFmtId="1" fontId="11" fillId="2" borderId="25" xfId="0" applyNumberFormat="1" applyFont="1" applyFill="1" applyBorder="1"/>
    <xf numFmtId="0" fontId="12" fillId="0" borderId="25" xfId="0" applyFont="1" applyBorder="1" applyAlignment="1">
      <alignment vertical="top"/>
    </xf>
    <xf numFmtId="10" fontId="11" fillId="2" borderId="25" xfId="0" applyNumberFormat="1" applyFont="1" applyFill="1" applyBorder="1"/>
    <xf numFmtId="0" fontId="11" fillId="2" borderId="25" xfId="0" applyFont="1" applyFill="1" applyBorder="1"/>
    <xf numFmtId="8" fontId="11" fillId="2" borderId="25" xfId="0" applyNumberFormat="1" applyFont="1" applyFill="1" applyBorder="1"/>
    <xf numFmtId="167" fontId="11" fillId="2" borderId="25" xfId="0" applyNumberFormat="1" applyFont="1" applyFill="1" applyBorder="1"/>
    <xf numFmtId="0" fontId="11" fillId="7" borderId="25" xfId="0" applyFont="1" applyFill="1" applyBorder="1"/>
    <xf numFmtId="8" fontId="11" fillId="7" borderId="25" xfId="0" applyNumberFormat="1" applyFont="1" applyFill="1" applyBorder="1"/>
    <xf numFmtId="167" fontId="11" fillId="7" borderId="25" xfId="0" applyNumberFormat="1" applyFont="1" applyFill="1" applyBorder="1"/>
    <xf numFmtId="0" fontId="11" fillId="8" borderId="25" xfId="0" applyFont="1" applyFill="1" applyBorder="1"/>
    <xf numFmtId="8" fontId="11" fillId="8" borderId="25" xfId="0" applyNumberFormat="1" applyFont="1" applyFill="1" applyBorder="1"/>
    <xf numFmtId="167" fontId="11" fillId="8" borderId="25" xfId="0" applyNumberFormat="1" applyFont="1" applyFill="1" applyBorder="1"/>
    <xf numFmtId="8" fontId="12" fillId="0" borderId="25" xfId="0" applyNumberFormat="1" applyFont="1" applyBorder="1" applyAlignment="1">
      <alignment vertical="top"/>
    </xf>
    <xf numFmtId="0" fontId="2" fillId="0" borderId="0" xfId="0" applyFont="1" applyAlignment="1">
      <alignment vertical="top" wrapText="1"/>
    </xf>
    <xf numFmtId="0" fontId="2" fillId="0" borderId="1" xfId="0" applyFont="1" applyBorder="1" applyAlignment="1">
      <alignment vertical="center" wrapText="1"/>
    </xf>
    <xf numFmtId="10" fontId="2" fillId="0" borderId="3" xfId="0" applyNumberFormat="1" applyFont="1" applyBorder="1" applyAlignment="1">
      <alignment horizontal="center"/>
    </xf>
    <xf numFmtId="164" fontId="2" fillId="0" borderId="0" xfId="0" applyNumberFormat="1" applyFont="1" applyAlignment="1">
      <alignment horizontal="left" vertical="center"/>
    </xf>
    <xf numFmtId="164" fontId="2" fillId="0" borderId="13" xfId="0" applyNumberFormat="1" applyFont="1" applyBorder="1" applyAlignment="1">
      <alignment horizontal="left" vertical="center"/>
    </xf>
    <xf numFmtId="164" fontId="2" fillId="0" borderId="14" xfId="0" applyNumberFormat="1" applyFont="1" applyBorder="1" applyAlignment="1">
      <alignment horizontal="left" vertical="center"/>
    </xf>
    <xf numFmtId="164" fontId="4" fillId="6" borderId="0" xfId="0" applyNumberFormat="1" applyFont="1" applyFill="1" applyAlignment="1">
      <alignment horizontal="right"/>
    </xf>
    <xf numFmtId="164" fontId="4" fillId="6" borderId="11" xfId="0" applyNumberFormat="1" applyFont="1" applyFill="1" applyBorder="1"/>
    <xf numFmtId="1" fontId="11" fillId="7" borderId="25" xfId="0" applyNumberFormat="1" applyFont="1" applyFill="1" applyBorder="1"/>
    <xf numFmtId="0" fontId="12" fillId="7" borderId="25" xfId="0" applyFont="1" applyFill="1" applyBorder="1" applyAlignment="1">
      <alignment vertical="top"/>
    </xf>
    <xf numFmtId="0" fontId="2" fillId="0" borderId="2" xfId="0" applyFont="1" applyBorder="1" applyAlignment="1">
      <alignment horizontal="left"/>
    </xf>
    <xf numFmtId="0" fontId="2" fillId="0" borderId="0" xfId="0" applyFont="1" applyAlignment="1">
      <alignment horizontal="left"/>
    </xf>
    <xf numFmtId="0" fontId="4" fillId="0" borderId="0" xfId="0" applyFont="1" applyAlignment="1">
      <alignment horizontal="left"/>
    </xf>
    <xf numFmtId="0" fontId="9" fillId="3" borderId="5" xfId="0" applyFont="1" applyFill="1" applyBorder="1" applyAlignment="1">
      <alignment horizontal="center" vertical="center"/>
    </xf>
    <xf numFmtId="0" fontId="2" fillId="0" borderId="0" xfId="0" applyFont="1" applyAlignment="1">
      <alignment horizontal="center"/>
    </xf>
    <xf numFmtId="0" fontId="4" fillId="0" borderId="5" xfId="0" applyFont="1" applyBorder="1" applyAlignment="1">
      <alignment horizontal="center" vertical="center"/>
    </xf>
    <xf numFmtId="0" fontId="2" fillId="0" borderId="4" xfId="0" applyFont="1" applyBorder="1" applyAlignment="1">
      <alignment horizontal="center" vertical="center"/>
    </xf>
    <xf numFmtId="171" fontId="2" fillId="0" borderId="15" xfId="0" applyNumberFormat="1" applyFont="1" applyBorder="1" applyAlignment="1">
      <alignment horizontal="left" vertical="center"/>
    </xf>
    <xf numFmtId="3" fontId="2" fillId="0" borderId="0" xfId="0" applyNumberFormat="1" applyFont="1"/>
    <xf numFmtId="8" fontId="2" fillId="0" borderId="11" xfId="0" applyNumberFormat="1" applyFont="1" applyBorder="1" applyAlignment="1">
      <alignment horizontal="center" vertical="center"/>
    </xf>
    <xf numFmtId="10" fontId="2" fillId="0" borderId="11" xfId="0" applyNumberFormat="1" applyFont="1" applyBorder="1" applyAlignment="1">
      <alignment horizontal="center" vertical="center"/>
    </xf>
    <xf numFmtId="10" fontId="2" fillId="0" borderId="12" xfId="0" applyNumberFormat="1" applyFont="1" applyBorder="1" applyAlignment="1">
      <alignment horizontal="center"/>
    </xf>
    <xf numFmtId="0" fontId="2" fillId="0" borderId="5" xfId="0" applyFont="1" applyBorder="1"/>
    <xf numFmtId="0" fontId="9" fillId="3" borderId="0" xfId="0" applyFont="1" applyFill="1"/>
    <xf numFmtId="0" fontId="9" fillId="3" borderId="11" xfId="0" applyFont="1" applyFill="1" applyBorder="1"/>
    <xf numFmtId="0" fontId="23" fillId="0" borderId="1" xfId="0" applyFont="1" applyBorder="1" applyAlignment="1">
      <alignment horizontal="left" vertical="center"/>
    </xf>
    <xf numFmtId="0" fontId="24" fillId="8" borderId="1" xfId="0" applyFont="1" applyFill="1" applyBorder="1" applyAlignment="1">
      <alignment horizontal="left" vertical="center"/>
    </xf>
    <xf numFmtId="0" fontId="19" fillId="6" borderId="20"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22" fillId="6" borderId="20" xfId="0" applyFont="1" applyFill="1" applyBorder="1" applyAlignment="1">
      <alignment horizontal="center" vertical="center"/>
    </xf>
    <xf numFmtId="0" fontId="18" fillId="6" borderId="20" xfId="0" applyFont="1" applyFill="1" applyBorder="1" applyAlignment="1">
      <alignment horizontal="center" vertical="center"/>
    </xf>
    <xf numFmtId="168" fontId="15" fillId="6" borderId="20" xfId="0" applyNumberFormat="1" applyFont="1" applyFill="1" applyBorder="1" applyAlignment="1">
      <alignment horizontal="center" vertical="center"/>
    </xf>
    <xf numFmtId="169" fontId="15" fillId="6" borderId="20" xfId="1" applyNumberFormat="1" applyFont="1" applyFill="1" applyBorder="1" applyAlignment="1">
      <alignment horizontal="center" vertical="center"/>
    </xf>
    <xf numFmtId="170" fontId="15" fillId="6" borderId="20" xfId="2" applyNumberFormat="1" applyFont="1" applyFill="1" applyBorder="1" applyAlignment="1">
      <alignment horizontal="center" vertical="center"/>
    </xf>
    <xf numFmtId="9" fontId="15" fillId="6" borderId="20" xfId="2" applyFont="1" applyFill="1" applyBorder="1" applyAlignment="1">
      <alignment horizontal="center" vertical="center"/>
    </xf>
    <xf numFmtId="169" fontId="15" fillId="7" borderId="20" xfId="1" applyNumberFormat="1" applyFont="1" applyFill="1" applyBorder="1" applyAlignment="1">
      <alignment horizontal="center" vertical="center"/>
    </xf>
    <xf numFmtId="169" fontId="15" fillId="0" borderId="20" xfId="1" applyNumberFormat="1" applyFont="1" applyFill="1" applyBorder="1" applyAlignment="1">
      <alignment horizontal="center" vertical="center"/>
    </xf>
    <xf numFmtId="10" fontId="15" fillId="6" borderId="20" xfId="2" applyNumberFormat="1" applyFont="1" applyFill="1" applyBorder="1" applyAlignment="1">
      <alignment horizontal="center" vertical="center"/>
    </xf>
    <xf numFmtId="9" fontId="17" fillId="6" borderId="20" xfId="2" applyFont="1" applyFill="1" applyBorder="1" applyAlignment="1">
      <alignment horizontal="center" vertical="center"/>
    </xf>
    <xf numFmtId="169" fontId="15" fillId="6" borderId="20" xfId="2" applyNumberFormat="1" applyFont="1" applyFill="1" applyBorder="1" applyAlignment="1">
      <alignment horizontal="center" vertical="center"/>
    </xf>
    <xf numFmtId="170" fontId="15" fillId="6" borderId="20" xfId="0" applyNumberFormat="1" applyFont="1" applyFill="1" applyBorder="1" applyAlignment="1">
      <alignment horizontal="center" vertical="center"/>
    </xf>
    <xf numFmtId="0" fontId="15" fillId="6" borderId="20" xfId="0" applyFont="1" applyFill="1" applyBorder="1" applyAlignment="1">
      <alignment horizontal="center" vertical="center"/>
    </xf>
    <xf numFmtId="168" fontId="15" fillId="7" borderId="20" xfId="0" applyNumberFormat="1" applyFont="1" applyFill="1" applyBorder="1" applyAlignment="1">
      <alignment horizontal="center" vertical="center"/>
    </xf>
    <xf numFmtId="9" fontId="15" fillId="7" borderId="20" xfId="2" applyFont="1" applyFill="1" applyBorder="1" applyAlignment="1">
      <alignment horizontal="center" vertical="center"/>
    </xf>
    <xf numFmtId="44" fontId="15" fillId="7" borderId="20" xfId="1" applyFont="1" applyFill="1" applyBorder="1" applyAlignment="1">
      <alignment horizontal="center" vertical="center"/>
    </xf>
    <xf numFmtId="10" fontId="15" fillId="7" borderId="20" xfId="2" applyNumberFormat="1" applyFont="1" applyFill="1" applyBorder="1" applyAlignment="1">
      <alignment horizontal="center" vertical="center"/>
    </xf>
    <xf numFmtId="9" fontId="17" fillId="7" borderId="20" xfId="2" applyFont="1" applyFill="1" applyBorder="1" applyAlignment="1">
      <alignment horizontal="center" vertical="center"/>
    </xf>
    <xf numFmtId="169" fontId="15" fillId="7" borderId="20" xfId="2" applyNumberFormat="1" applyFont="1" applyFill="1" applyBorder="1" applyAlignment="1">
      <alignment horizontal="center" vertical="center"/>
    </xf>
    <xf numFmtId="0" fontId="18" fillId="7" borderId="20" xfId="0" applyFont="1" applyFill="1" applyBorder="1" applyAlignment="1">
      <alignment horizontal="center" vertical="center"/>
    </xf>
    <xf numFmtId="0" fontId="20" fillId="6" borderId="20" xfId="0" applyFont="1" applyFill="1" applyBorder="1" applyAlignment="1">
      <alignment horizontal="center" vertical="center"/>
    </xf>
    <xf numFmtId="0" fontId="17" fillId="6" borderId="26" xfId="0" applyFont="1" applyFill="1" applyBorder="1" applyAlignment="1">
      <alignment vertical="center"/>
    </xf>
    <xf numFmtId="0" fontId="17" fillId="6" borderId="8" xfId="0" applyFont="1" applyFill="1" applyBorder="1" applyAlignment="1">
      <alignment vertical="center"/>
    </xf>
    <xf numFmtId="0" fontId="17" fillId="6" borderId="27" xfId="0" applyFont="1" applyFill="1" applyBorder="1" applyAlignment="1">
      <alignment vertical="center"/>
    </xf>
    <xf numFmtId="10" fontId="15" fillId="6" borderId="20" xfId="1" applyNumberFormat="1" applyFont="1" applyFill="1" applyBorder="1" applyAlignment="1">
      <alignment horizontal="center" vertical="center"/>
    </xf>
    <xf numFmtId="42" fontId="15" fillId="6" borderId="20" xfId="1" applyNumberFormat="1" applyFont="1" applyFill="1" applyBorder="1" applyAlignment="1">
      <alignment horizontal="center" vertical="center"/>
    </xf>
    <xf numFmtId="0" fontId="17" fillId="7" borderId="8" xfId="0" applyFont="1" applyFill="1" applyBorder="1" applyAlignment="1">
      <alignment vertical="center"/>
    </xf>
    <xf numFmtId="10" fontId="17" fillId="7" borderId="20" xfId="2" applyNumberFormat="1" applyFont="1" applyFill="1" applyBorder="1" applyAlignment="1">
      <alignment horizontal="center" vertical="center"/>
    </xf>
    <xf numFmtId="0" fontId="20" fillId="7" borderId="20" xfId="0" applyFont="1" applyFill="1" applyBorder="1" applyAlignment="1">
      <alignment horizontal="center" vertical="center"/>
    </xf>
    <xf numFmtId="169" fontId="17" fillId="6" borderId="32" xfId="0" applyNumberFormat="1" applyFont="1" applyFill="1" applyBorder="1" applyAlignment="1">
      <alignment horizontal="center" vertical="center"/>
    </xf>
    <xf numFmtId="0" fontId="15" fillId="8" borderId="20" xfId="0" applyFont="1" applyFill="1" applyBorder="1" applyAlignment="1">
      <alignment horizontal="center" vertical="center"/>
    </xf>
    <xf numFmtId="169" fontId="15" fillId="8" borderId="33" xfId="0" applyNumberFormat="1" applyFont="1" applyFill="1" applyBorder="1" applyAlignment="1">
      <alignment horizontal="center" vertical="center"/>
    </xf>
    <xf numFmtId="0" fontId="15" fillId="8" borderId="33" xfId="0" applyFont="1" applyFill="1" applyBorder="1" applyAlignment="1">
      <alignment horizontal="center" vertical="center"/>
    </xf>
    <xf numFmtId="169" fontId="17" fillId="6" borderId="20" xfId="0" applyNumberFormat="1" applyFont="1" applyFill="1" applyBorder="1" applyAlignment="1">
      <alignment horizontal="center" vertical="center"/>
    </xf>
    <xf numFmtId="0" fontId="15" fillId="8" borderId="28" xfId="0" applyFont="1" applyFill="1" applyBorder="1" applyAlignment="1">
      <alignment horizontal="center" vertical="center"/>
    </xf>
    <xf numFmtId="170" fontId="15" fillId="6" borderId="26" xfId="0" applyNumberFormat="1" applyFont="1" applyFill="1" applyBorder="1" applyAlignment="1">
      <alignment horizontal="center" vertical="center"/>
    </xf>
    <xf numFmtId="170" fontId="15" fillId="7" borderId="26" xfId="0" applyNumberFormat="1" applyFont="1" applyFill="1" applyBorder="1" applyAlignment="1">
      <alignment horizontal="center" vertical="center"/>
    </xf>
    <xf numFmtId="0" fontId="15" fillId="8" borderId="30" xfId="0" applyFont="1" applyFill="1" applyBorder="1" applyAlignment="1">
      <alignment horizontal="center" vertical="center"/>
    </xf>
    <xf numFmtId="172" fontId="17" fillId="6" borderId="30" xfId="0" applyNumberFormat="1" applyFont="1" applyFill="1" applyBorder="1" applyAlignment="1">
      <alignment horizontal="center" vertical="center"/>
    </xf>
    <xf numFmtId="0" fontId="15" fillId="8" borderId="31" xfId="0" applyFont="1" applyFill="1" applyBorder="1" applyAlignment="1">
      <alignment horizontal="center" vertical="center"/>
    </xf>
    <xf numFmtId="0" fontId="15" fillId="6" borderId="32" xfId="0" applyFont="1" applyFill="1" applyBorder="1" applyAlignment="1">
      <alignment horizontal="center" vertical="center"/>
    </xf>
    <xf numFmtId="0" fontId="15" fillId="7" borderId="35" xfId="0" applyFont="1" applyFill="1" applyBorder="1" applyAlignment="1">
      <alignment horizontal="center" vertical="center"/>
    </xf>
    <xf numFmtId="0" fontId="17" fillId="7" borderId="35" xfId="0" applyFont="1" applyFill="1" applyBorder="1" applyAlignment="1">
      <alignment horizontal="center" vertical="center"/>
    </xf>
    <xf numFmtId="9" fontId="17" fillId="7" borderId="36" xfId="0" applyNumberFormat="1" applyFont="1" applyFill="1" applyBorder="1" applyAlignment="1">
      <alignment horizontal="center" vertical="center"/>
    </xf>
    <xf numFmtId="169" fontId="17" fillId="7" borderId="35" xfId="0" applyNumberFormat="1" applyFont="1" applyFill="1" applyBorder="1" applyAlignment="1">
      <alignment horizontal="center" vertical="center"/>
    </xf>
    <xf numFmtId="172" fontId="17" fillId="6" borderId="29" xfId="0" applyNumberFormat="1" applyFont="1" applyFill="1" applyBorder="1" applyAlignment="1">
      <alignment horizontal="center" vertical="center"/>
    </xf>
    <xf numFmtId="0" fontId="2" fillId="0" borderId="11" xfId="0" applyFont="1" applyBorder="1"/>
    <xf numFmtId="43" fontId="4" fillId="0" borderId="0" xfId="0" applyNumberFormat="1" applyFont="1" applyAlignment="1">
      <alignment horizontal="center" vertical="center"/>
    </xf>
    <xf numFmtId="43" fontId="4" fillId="0" borderId="11" xfId="0" applyNumberFormat="1" applyFont="1" applyBorder="1" applyAlignment="1">
      <alignment horizontal="center" vertical="center"/>
    </xf>
    <xf numFmtId="10" fontId="9" fillId="3" borderId="7" xfId="0" applyNumberFormat="1" applyFont="1" applyFill="1" applyBorder="1" applyAlignment="1">
      <alignment horizontal="left"/>
    </xf>
    <xf numFmtId="0" fontId="19" fillId="6" borderId="38" xfId="0" applyFont="1" applyFill="1" applyBorder="1" applyAlignment="1">
      <alignment horizontal="center" vertical="center" wrapText="1"/>
    </xf>
    <xf numFmtId="170" fontId="15" fillId="6" borderId="28" xfId="0" applyNumberFormat="1" applyFont="1" applyFill="1" applyBorder="1" applyAlignment="1">
      <alignment horizontal="center" vertical="center"/>
    </xf>
    <xf numFmtId="169" fontId="15" fillId="8" borderId="20" xfId="0" applyNumberFormat="1" applyFont="1" applyFill="1" applyBorder="1" applyAlignment="1">
      <alignment horizontal="center" vertical="center"/>
    </xf>
    <xf numFmtId="170" fontId="15" fillId="6" borderId="32" xfId="0" applyNumberFormat="1" applyFont="1" applyFill="1" applyBorder="1" applyAlignment="1">
      <alignment horizontal="center" vertical="center"/>
    </xf>
    <xf numFmtId="9" fontId="17" fillId="7" borderId="35" xfId="0" applyNumberFormat="1" applyFont="1" applyFill="1" applyBorder="1" applyAlignment="1">
      <alignment horizontal="center" vertical="center"/>
    </xf>
    <xf numFmtId="170" fontId="15" fillId="8" borderId="20" xfId="0" applyNumberFormat="1" applyFont="1" applyFill="1" applyBorder="1" applyAlignment="1">
      <alignment horizontal="center" vertical="center"/>
    </xf>
    <xf numFmtId="170" fontId="15" fillId="7" borderId="34" xfId="0" applyNumberFormat="1" applyFont="1" applyFill="1" applyBorder="1" applyAlignment="1">
      <alignment horizontal="center" vertical="center"/>
    </xf>
    <xf numFmtId="170" fontId="15" fillId="7" borderId="35" xfId="0" applyNumberFormat="1" applyFont="1" applyFill="1" applyBorder="1" applyAlignment="1">
      <alignment horizontal="center" vertical="center"/>
    </xf>
    <xf numFmtId="170" fontId="17" fillId="7" borderId="35" xfId="0" applyNumberFormat="1" applyFont="1" applyFill="1" applyBorder="1" applyAlignment="1">
      <alignment horizontal="center" vertical="center"/>
    </xf>
    <xf numFmtId="0" fontId="21" fillId="0" borderId="8" xfId="0" applyFont="1" applyBorder="1" applyAlignment="1">
      <alignment horizontal="left" vertical="center"/>
    </xf>
    <xf numFmtId="43" fontId="21" fillId="0" borderId="12" xfId="0" applyNumberFormat="1" applyFont="1" applyBorder="1" applyAlignment="1">
      <alignment horizontal="left" vertical="center"/>
    </xf>
    <xf numFmtId="0" fontId="10" fillId="0" borderId="7" xfId="0" applyFont="1" applyBorder="1" applyAlignment="1">
      <alignment vertical="center"/>
    </xf>
    <xf numFmtId="2" fontId="17" fillId="6" borderId="20" xfId="0" applyNumberFormat="1" applyFont="1" applyFill="1" applyBorder="1" applyAlignment="1">
      <alignment horizontal="center" vertical="center"/>
    </xf>
    <xf numFmtId="2" fontId="25" fillId="6" borderId="30" xfId="0" applyNumberFormat="1" applyFont="1" applyFill="1" applyBorder="1" applyAlignment="1">
      <alignment horizontal="center" vertical="center"/>
    </xf>
    <xf numFmtId="0" fontId="17" fillId="9" borderId="8" xfId="0" applyFont="1" applyFill="1" applyBorder="1" applyAlignment="1">
      <alignment vertical="center"/>
    </xf>
    <xf numFmtId="0" fontId="19" fillId="9" borderId="20" xfId="0" applyFont="1" applyFill="1" applyBorder="1" applyAlignment="1">
      <alignment horizontal="center" vertical="center" wrapText="1"/>
    </xf>
    <xf numFmtId="169" fontId="15" fillId="9" borderId="20" xfId="1" applyNumberFormat="1" applyFont="1" applyFill="1" applyBorder="1" applyAlignment="1">
      <alignment horizontal="center" vertical="center"/>
    </xf>
    <xf numFmtId="0" fontId="18" fillId="9" borderId="20" xfId="0" applyFont="1" applyFill="1" applyBorder="1" applyAlignment="1">
      <alignment horizontal="center" vertical="center"/>
    </xf>
    <xf numFmtId="0" fontId="21" fillId="6" borderId="17" xfId="0" applyFont="1" applyFill="1" applyBorder="1" applyAlignment="1">
      <alignment horizontal="left" vertical="center"/>
    </xf>
    <xf numFmtId="0" fontId="21" fillId="6" borderId="8" xfId="0" applyFont="1" applyFill="1" applyBorder="1" applyAlignment="1">
      <alignment horizontal="left" vertical="center"/>
    </xf>
    <xf numFmtId="0" fontId="4" fillId="0" borderId="0" xfId="0" applyFont="1" applyAlignment="1">
      <alignment horizontal="center"/>
    </xf>
    <xf numFmtId="0" fontId="1" fillId="6" borderId="20" xfId="0" applyFont="1" applyFill="1" applyBorder="1" applyAlignment="1">
      <alignment horizontal="center" vertical="center"/>
    </xf>
    <xf numFmtId="0" fontId="10" fillId="6" borderId="20" xfId="0" applyFont="1" applyFill="1" applyBorder="1" applyAlignment="1">
      <alignment horizontal="center" vertical="center"/>
    </xf>
    <xf numFmtId="0" fontId="1" fillId="6" borderId="27" xfId="0" applyFont="1" applyFill="1" applyBorder="1" applyAlignment="1">
      <alignment horizontal="center" vertical="center"/>
    </xf>
    <xf numFmtId="0" fontId="1" fillId="7" borderId="27" xfId="0" applyFont="1" applyFill="1" applyBorder="1" applyAlignment="1">
      <alignment horizontal="center" vertical="center"/>
    </xf>
    <xf numFmtId="0" fontId="1" fillId="8" borderId="20" xfId="0" applyFont="1" applyFill="1" applyBorder="1" applyAlignment="1">
      <alignment horizontal="center" vertical="center"/>
    </xf>
    <xf numFmtId="0" fontId="1" fillId="8" borderId="33" xfId="0" applyFont="1" applyFill="1" applyBorder="1" applyAlignment="1">
      <alignment horizontal="center" vertical="center"/>
    </xf>
    <xf numFmtId="0" fontId="1" fillId="6" borderId="28" xfId="0" applyFont="1" applyFill="1" applyBorder="1" applyAlignment="1">
      <alignment horizontal="center" vertical="center"/>
    </xf>
    <xf numFmtId="0" fontId="1" fillId="7" borderId="20" xfId="0" applyFont="1" applyFill="1" applyBorder="1" applyAlignment="1">
      <alignment horizontal="center" vertical="center"/>
    </xf>
    <xf numFmtId="44" fontId="1" fillId="7" borderId="20" xfId="0" applyNumberFormat="1" applyFont="1" applyFill="1" applyBorder="1" applyAlignment="1">
      <alignment horizontal="center" vertical="center"/>
    </xf>
    <xf numFmtId="44" fontId="1" fillId="6" borderId="20" xfId="0" applyNumberFormat="1" applyFont="1" applyFill="1" applyBorder="1" applyAlignment="1">
      <alignment horizontal="center" vertical="center"/>
    </xf>
    <xf numFmtId="0" fontId="1" fillId="9" borderId="20" xfId="0" applyFont="1" applyFill="1" applyBorder="1" applyAlignment="1">
      <alignment horizontal="center" vertical="center"/>
    </xf>
    <xf numFmtId="10" fontId="2" fillId="10" borderId="0" xfId="0" applyNumberFormat="1" applyFont="1" applyFill="1" applyAlignment="1" applyProtection="1">
      <alignment horizontal="center" vertical="center"/>
      <protection locked="0"/>
    </xf>
    <xf numFmtId="164" fontId="2" fillId="10" borderId="11" xfId="0" applyNumberFormat="1" applyFont="1" applyFill="1" applyBorder="1" applyProtection="1">
      <protection locked="0"/>
    </xf>
    <xf numFmtId="164" fontId="2" fillId="10" borderId="13" xfId="0" applyNumberFormat="1" applyFont="1" applyFill="1" applyBorder="1" applyAlignment="1" applyProtection="1">
      <alignment horizontal="right"/>
      <protection locked="0"/>
    </xf>
    <xf numFmtId="0" fontId="23" fillId="6" borderId="0" xfId="0" applyFont="1" applyFill="1" applyAlignment="1">
      <alignment horizontal="center" vertical="center"/>
    </xf>
    <xf numFmtId="6" fontId="4" fillId="10" borderId="5" xfId="0" applyNumberFormat="1" applyFont="1" applyFill="1" applyBorder="1" applyAlignment="1" applyProtection="1">
      <alignment horizontal="left" vertical="center"/>
      <protection locked="0"/>
    </xf>
    <xf numFmtId="9" fontId="2" fillId="10" borderId="17" xfId="0" applyNumberFormat="1" applyFont="1" applyFill="1" applyBorder="1" applyAlignment="1" applyProtection="1">
      <alignment horizontal="left" vertical="center"/>
      <protection locked="0"/>
    </xf>
    <xf numFmtId="9" fontId="2" fillId="10" borderId="15" xfId="0" applyNumberFormat="1" applyFont="1" applyFill="1" applyBorder="1" applyAlignment="1" applyProtection="1">
      <alignment horizontal="left" vertical="center"/>
      <protection locked="0"/>
    </xf>
    <xf numFmtId="10" fontId="2" fillId="10" borderId="15" xfId="0" applyNumberFormat="1" applyFont="1" applyFill="1" applyBorder="1" applyAlignment="1" applyProtection="1">
      <alignment horizontal="left" vertical="center"/>
      <protection locked="0"/>
    </xf>
    <xf numFmtId="6" fontId="2" fillId="10" borderId="15" xfId="0" applyNumberFormat="1" applyFont="1" applyFill="1" applyBorder="1" applyAlignment="1" applyProtection="1">
      <alignment horizontal="left" vertical="center"/>
      <protection locked="0"/>
    </xf>
    <xf numFmtId="0" fontId="2" fillId="10" borderId="15" xfId="0" applyFont="1" applyFill="1" applyBorder="1" applyAlignment="1" applyProtection="1">
      <alignment horizontal="left" vertical="center"/>
      <protection locked="0"/>
    </xf>
    <xf numFmtId="164" fontId="2" fillId="10" borderId="0" xfId="0" applyNumberFormat="1" applyFont="1" applyFill="1" applyAlignment="1" applyProtection="1">
      <alignment horizontal="left"/>
      <protection locked="0"/>
    </xf>
    <xf numFmtId="164" fontId="2" fillId="10" borderId="0" xfId="0" applyNumberFormat="1" applyFont="1" applyFill="1" applyProtection="1">
      <protection locked="0"/>
    </xf>
    <xf numFmtId="164" fontId="2" fillId="10" borderId="13" xfId="0" applyNumberFormat="1" applyFont="1" applyFill="1" applyBorder="1" applyProtection="1">
      <protection locked="0"/>
    </xf>
    <xf numFmtId="10" fontId="2" fillId="10" borderId="0" xfId="0" applyNumberFormat="1" applyFont="1" applyFill="1" applyAlignment="1" applyProtection="1">
      <alignment horizontal="center"/>
      <protection locked="0"/>
    </xf>
    <xf numFmtId="0" fontId="2" fillId="10" borderId="19" xfId="0" applyFont="1" applyFill="1" applyBorder="1" applyProtection="1">
      <protection locked="0"/>
    </xf>
    <xf numFmtId="165" fontId="2" fillId="10" borderId="16" xfId="0" applyNumberFormat="1" applyFont="1" applyFill="1" applyBorder="1" applyAlignment="1" applyProtection="1">
      <alignment horizontal="left" vertical="center"/>
      <protection locked="0"/>
    </xf>
    <xf numFmtId="164" fontId="2" fillId="10" borderId="0" xfId="0" applyNumberFormat="1" applyFont="1" applyFill="1" applyAlignment="1" applyProtection="1">
      <alignment horizontal="right"/>
      <protection locked="0"/>
    </xf>
    <xf numFmtId="0" fontId="23" fillId="10" borderId="41" xfId="0" applyFont="1" applyFill="1" applyBorder="1" applyAlignment="1">
      <alignment horizontal="left" vertical="center"/>
    </xf>
    <xf numFmtId="0" fontId="23" fillId="10" borderId="40" xfId="0" applyFont="1" applyFill="1" applyBorder="1" applyAlignment="1">
      <alignment horizontal="left" vertical="center"/>
    </xf>
    <xf numFmtId="0" fontId="23" fillId="10" borderId="43" xfId="0" applyFont="1" applyFill="1" applyBorder="1" applyAlignment="1">
      <alignment horizontal="left" vertical="center"/>
    </xf>
    <xf numFmtId="10" fontId="24" fillId="10" borderId="42" xfId="0" applyNumberFormat="1" applyFont="1" applyFill="1" applyBorder="1" applyAlignment="1" applyProtection="1">
      <alignment horizontal="center" vertical="center"/>
      <protection locked="0"/>
    </xf>
    <xf numFmtId="10" fontId="24" fillId="10" borderId="43" xfId="0" applyNumberFormat="1" applyFont="1" applyFill="1" applyBorder="1" applyAlignment="1" applyProtection="1">
      <alignment horizontal="center" vertical="center"/>
      <protection locked="0"/>
    </xf>
    <xf numFmtId="10" fontId="24" fillId="10" borderId="22" xfId="0" applyNumberFormat="1" applyFont="1" applyFill="1" applyBorder="1" applyAlignment="1" applyProtection="1">
      <alignment horizontal="center" vertical="center"/>
      <protection locked="0"/>
    </xf>
    <xf numFmtId="0" fontId="8" fillId="4" borderId="21" xfId="0" applyFont="1" applyFill="1" applyBorder="1" applyAlignment="1">
      <alignment horizontal="center" vertical="center" textRotation="90"/>
    </xf>
    <xf numFmtId="0" fontId="8" fillId="4" borderId="18" xfId="0" applyFont="1" applyFill="1" applyBorder="1" applyAlignment="1">
      <alignment horizontal="center" vertical="center" textRotation="90"/>
    </xf>
    <xf numFmtId="0" fontId="8" fillId="4" borderId="22" xfId="0" applyFont="1" applyFill="1" applyBorder="1" applyAlignment="1">
      <alignment horizontal="center" vertical="center" textRotation="90"/>
    </xf>
    <xf numFmtId="0" fontId="7" fillId="4" borderId="21" xfId="0" applyFont="1" applyFill="1" applyBorder="1" applyAlignment="1">
      <alignment horizontal="center" vertical="center" textRotation="90"/>
    </xf>
    <xf numFmtId="0" fontId="7" fillId="4" borderId="18" xfId="0" applyFont="1" applyFill="1" applyBorder="1" applyAlignment="1">
      <alignment horizontal="center" vertical="center" textRotation="90"/>
    </xf>
    <xf numFmtId="0" fontId="7" fillId="4" borderId="22" xfId="0" applyFont="1" applyFill="1" applyBorder="1" applyAlignment="1">
      <alignment horizontal="center" vertical="center" textRotation="90"/>
    </xf>
    <xf numFmtId="0" fontId="5" fillId="5" borderId="6" xfId="0" applyFont="1" applyFill="1" applyBorder="1" applyAlignment="1">
      <alignment horizontal="center"/>
    </xf>
    <xf numFmtId="0" fontId="6" fillId="5" borderId="5" xfId="0" applyFont="1" applyFill="1" applyBorder="1" applyAlignment="1">
      <alignment horizontal="center"/>
    </xf>
    <xf numFmtId="0" fontId="6" fillId="5" borderId="7" xfId="0" applyFont="1" applyFill="1" applyBorder="1" applyAlignment="1">
      <alignment horizontal="center"/>
    </xf>
    <xf numFmtId="0" fontId="21" fillId="10" borderId="23" xfId="0" applyFont="1" applyFill="1" applyBorder="1" applyAlignment="1" applyProtection="1">
      <alignment horizontal="left" vertical="center"/>
      <protection locked="0"/>
    </xf>
    <xf numFmtId="0" fontId="21" fillId="10" borderId="17" xfId="0" applyFont="1" applyFill="1" applyBorder="1" applyAlignment="1" applyProtection="1">
      <alignment horizontal="left" vertical="center"/>
      <protection locked="0"/>
    </xf>
    <xf numFmtId="0" fontId="21" fillId="10" borderId="24" xfId="0" applyFont="1" applyFill="1" applyBorder="1" applyAlignment="1" applyProtection="1">
      <alignment horizontal="left" vertical="center"/>
      <protection locked="0"/>
    </xf>
    <xf numFmtId="0" fontId="21" fillId="10" borderId="8" xfId="0" applyFont="1" applyFill="1" applyBorder="1" applyAlignment="1" applyProtection="1">
      <alignment horizontal="left" vertical="center"/>
      <protection locked="0"/>
    </xf>
    <xf numFmtId="8" fontId="2" fillId="0" borderId="0" xfId="0" applyNumberFormat="1" applyFont="1" applyAlignment="1">
      <alignment horizontal="center"/>
    </xf>
    <xf numFmtId="10" fontId="2" fillId="0" borderId="0" xfId="0" applyNumberFormat="1" applyFont="1" applyAlignment="1">
      <alignment horizontal="center"/>
    </xf>
    <xf numFmtId="10" fontId="2" fillId="0" borderId="3" xfId="0" applyNumberFormat="1"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9" fillId="3" borderId="5" xfId="0" applyFont="1" applyFill="1" applyBorder="1" applyAlignment="1">
      <alignment horizontal="right"/>
    </xf>
    <xf numFmtId="0" fontId="4" fillId="0" borderId="0" xfId="0" applyFont="1" applyAlignment="1">
      <alignment horizontal="center"/>
    </xf>
    <xf numFmtId="0" fontId="15" fillId="6" borderId="20" xfId="0" applyFont="1" applyFill="1" applyBorder="1" applyAlignment="1">
      <alignment horizontal="center" vertical="center" wrapText="1"/>
    </xf>
    <xf numFmtId="0" fontId="19" fillId="6" borderId="38" xfId="0" applyFont="1" applyFill="1" applyBorder="1" applyAlignment="1">
      <alignment horizontal="center" vertical="center"/>
    </xf>
    <xf numFmtId="0" fontId="19" fillId="6" borderId="39" xfId="0" applyFont="1" applyFill="1" applyBorder="1" applyAlignment="1">
      <alignment horizontal="center" vertical="center"/>
    </xf>
    <xf numFmtId="0" fontId="19" fillId="6" borderId="37"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multiLvlStrRef>
              <c:f>'Analysis Worksheet'!$A$1:$G$18</c:f>
              <c:multiLvlStrCache>
                <c:ptCount val="7"/>
                <c:lvl>
                  <c:pt idx="5">
                    <c:v>Monthly</c:v>
                  </c:pt>
                  <c:pt idx="6">
                    <c:v> Annual </c:v>
                  </c:pt>
                </c:lvl>
                <c:lvl>
                  <c:pt idx="1">
                    <c:v>Payments Per Year</c:v>
                  </c:pt>
                  <c:pt idx="5">
                    <c:v>12</c:v>
                  </c:pt>
                </c:lvl>
                <c:lvl>
                  <c:pt idx="1">
                    <c:v>Length of Mortgage (years)</c:v>
                  </c:pt>
                  <c:pt idx="5">
                    <c:v>30</c:v>
                  </c:pt>
                </c:lvl>
                <c:lvl>
                  <c:pt idx="1">
                    <c:v>Total Cash Invested</c:v>
                  </c:pt>
                  <c:pt idx="5">
                    <c:v>$69,000</c:v>
                  </c:pt>
                </c:lvl>
                <c:lvl>
                  <c:pt idx="1">
                    <c:v>Cost of Repairs (make-ready)</c:v>
                  </c:pt>
                  <c:pt idx="5">
                    <c:v>$3,000 </c:v>
                  </c:pt>
                </c:lvl>
                <c:lvl>
                  <c:pt idx="1">
                    <c:v>Closing Costs (2%)</c:v>
                  </c:pt>
                  <c:pt idx="2">
                    <c:v>2.00%</c:v>
                  </c:pt>
                  <c:pt idx="5">
                    <c:v>$6,000.00</c:v>
                  </c:pt>
                </c:lvl>
                <c:lvl>
                  <c:pt idx="1">
                    <c:v>Interest Rate</c:v>
                  </c:pt>
                  <c:pt idx="5">
                    <c:v>4.00%</c:v>
                  </c:pt>
                </c:lvl>
                <c:lvl>
                  <c:pt idx="1">
                    <c:v>Amount Financed</c:v>
                  </c:pt>
                  <c:pt idx="5">
                    <c:v>$240,000.00 </c:v>
                  </c:pt>
                </c:lvl>
                <c:lvl>
                  <c:pt idx="1">
                    <c:v>Down Payment Amount</c:v>
                  </c:pt>
                  <c:pt idx="5">
                    <c:v>$60,000.00 </c:v>
                  </c:pt>
                </c:lvl>
                <c:lvl>
                  <c:pt idx="1">
                    <c:v>Percent Down</c:v>
                  </c:pt>
                  <c:pt idx="5">
                    <c:v>20%</c:v>
                  </c:pt>
                </c:lvl>
                <c:lvl>
                  <c:pt idx="1">
                    <c:v>Purchase Price (max offer price)</c:v>
                  </c:pt>
                  <c:pt idx="5">
                    <c:v>$300,000 </c:v>
                  </c:pt>
                </c:lvl>
                <c:lvl>
                  <c:pt idx="1">
                    <c:v>Discount %</c:v>
                  </c:pt>
                  <c:pt idx="5">
                    <c:v>0%</c:v>
                  </c:pt>
                </c:lvl>
                <c:lvl>
                  <c:pt idx="0">
                    <c:v>Purchase Terms</c:v>
                  </c:pt>
                  <c:pt idx="1">
                    <c:v>1. Fair Market Value:</c:v>
                  </c:pt>
                  <c:pt idx="2">
                    <c:v>%</c:v>
                  </c:pt>
                  <c:pt idx="5">
                    <c:v>$300,000 </c:v>
                  </c:pt>
                </c:lvl>
                <c:lvl>
                  <c:pt idx="0">
                    <c:v>Property Address:  Test 123 Main Street</c:v>
                  </c:pt>
                  <c:pt idx="5">
                    <c:v>List Price:</c:v>
                  </c:pt>
                  <c:pt idx="6">
                    <c:v>$250,000</c:v>
                  </c:pt>
                </c:lvl>
                <c:lvl>
                  <c:pt idx="0">
                    <c:v>Client Name:</c:v>
                  </c:pt>
                  <c:pt idx="5">
                    <c:v>Prepared By:</c:v>
                  </c:pt>
                </c:lvl>
                <c:lvl>
                  <c:pt idx="0">
                    <c:v>Property Analysis Worksheet</c:v>
                  </c:pt>
                </c:lvl>
              </c:multiLvlStrCache>
            </c:multiLvlStrRef>
          </c:cat>
          <c:val>
            <c:numRef>
              <c:f>'Analysis Worksheet'!$A$19:$G$19</c:f>
              <c:numCache>
                <c:formatCode>General</c:formatCode>
                <c:ptCount val="7"/>
                <c:pt idx="1">
                  <c:v>0</c:v>
                </c:pt>
                <c:pt idx="5" formatCode="&quot;$&quot;#,##0.00_);[Red]\(&quot;$&quot;#,##0.00\)">
                  <c:v>1145.7967091171026</c:v>
                </c:pt>
                <c:pt idx="6" formatCode="&quot;$&quot;#,##0.00_);[Red]\(&quot;$&quot;#,##0.00\)">
                  <c:v>13749.560509405232</c:v>
                </c:pt>
              </c:numCache>
            </c:numRef>
          </c:val>
          <c:extLst>
            <c:ext xmlns:c16="http://schemas.microsoft.com/office/drawing/2014/chart" uri="{C3380CC4-5D6E-409C-BE32-E72D297353CC}">
              <c16:uniqueId val="{00000000-4837-473B-9D89-3D960752A57C}"/>
            </c:ext>
          </c:extLst>
        </c:ser>
        <c:ser>
          <c:idx val="1"/>
          <c:order val="1"/>
          <c:spPr>
            <a:solidFill>
              <a:schemeClr val="accent2"/>
            </a:solidFill>
            <a:ln>
              <a:noFill/>
            </a:ln>
            <a:effectLst/>
          </c:spPr>
          <c:invertIfNegative val="0"/>
          <c:cat>
            <c:multiLvlStrRef>
              <c:f>'Analysis Worksheet'!$A$1:$G$18</c:f>
              <c:multiLvlStrCache>
                <c:ptCount val="7"/>
                <c:lvl>
                  <c:pt idx="5">
                    <c:v>Monthly</c:v>
                  </c:pt>
                  <c:pt idx="6">
                    <c:v> Annual </c:v>
                  </c:pt>
                </c:lvl>
                <c:lvl>
                  <c:pt idx="1">
                    <c:v>Payments Per Year</c:v>
                  </c:pt>
                  <c:pt idx="5">
                    <c:v>12</c:v>
                  </c:pt>
                </c:lvl>
                <c:lvl>
                  <c:pt idx="1">
                    <c:v>Length of Mortgage (years)</c:v>
                  </c:pt>
                  <c:pt idx="5">
                    <c:v>30</c:v>
                  </c:pt>
                </c:lvl>
                <c:lvl>
                  <c:pt idx="1">
                    <c:v>Total Cash Invested</c:v>
                  </c:pt>
                  <c:pt idx="5">
                    <c:v>$69,000</c:v>
                  </c:pt>
                </c:lvl>
                <c:lvl>
                  <c:pt idx="1">
                    <c:v>Cost of Repairs (make-ready)</c:v>
                  </c:pt>
                  <c:pt idx="5">
                    <c:v>$3,000 </c:v>
                  </c:pt>
                </c:lvl>
                <c:lvl>
                  <c:pt idx="1">
                    <c:v>Closing Costs (2%)</c:v>
                  </c:pt>
                  <c:pt idx="2">
                    <c:v>2.00%</c:v>
                  </c:pt>
                  <c:pt idx="5">
                    <c:v>$6,000.00</c:v>
                  </c:pt>
                </c:lvl>
                <c:lvl>
                  <c:pt idx="1">
                    <c:v>Interest Rate</c:v>
                  </c:pt>
                  <c:pt idx="5">
                    <c:v>4.00%</c:v>
                  </c:pt>
                </c:lvl>
                <c:lvl>
                  <c:pt idx="1">
                    <c:v>Amount Financed</c:v>
                  </c:pt>
                  <c:pt idx="5">
                    <c:v>$240,000.00 </c:v>
                  </c:pt>
                </c:lvl>
                <c:lvl>
                  <c:pt idx="1">
                    <c:v>Down Payment Amount</c:v>
                  </c:pt>
                  <c:pt idx="5">
                    <c:v>$60,000.00 </c:v>
                  </c:pt>
                </c:lvl>
                <c:lvl>
                  <c:pt idx="1">
                    <c:v>Percent Down</c:v>
                  </c:pt>
                  <c:pt idx="5">
                    <c:v>20%</c:v>
                  </c:pt>
                </c:lvl>
                <c:lvl>
                  <c:pt idx="1">
                    <c:v>Purchase Price (max offer price)</c:v>
                  </c:pt>
                  <c:pt idx="5">
                    <c:v>$300,000 </c:v>
                  </c:pt>
                </c:lvl>
                <c:lvl>
                  <c:pt idx="1">
                    <c:v>Discount %</c:v>
                  </c:pt>
                  <c:pt idx="5">
                    <c:v>0%</c:v>
                  </c:pt>
                </c:lvl>
                <c:lvl>
                  <c:pt idx="0">
                    <c:v>Purchase Terms</c:v>
                  </c:pt>
                  <c:pt idx="1">
                    <c:v>1. Fair Market Value:</c:v>
                  </c:pt>
                  <c:pt idx="2">
                    <c:v>%</c:v>
                  </c:pt>
                  <c:pt idx="5">
                    <c:v>$300,000 </c:v>
                  </c:pt>
                </c:lvl>
                <c:lvl>
                  <c:pt idx="0">
                    <c:v>Property Address:  Test 123 Main Street</c:v>
                  </c:pt>
                  <c:pt idx="5">
                    <c:v>List Price:</c:v>
                  </c:pt>
                  <c:pt idx="6">
                    <c:v>$250,000</c:v>
                  </c:pt>
                </c:lvl>
                <c:lvl>
                  <c:pt idx="0">
                    <c:v>Client Name:</c:v>
                  </c:pt>
                  <c:pt idx="5">
                    <c:v>Prepared By:</c:v>
                  </c:pt>
                </c:lvl>
                <c:lvl>
                  <c:pt idx="0">
                    <c:v>Property Analysis Worksheet</c:v>
                  </c:pt>
                </c:lvl>
              </c:multiLvlStrCache>
            </c:multiLvlStrRef>
          </c:cat>
          <c:val>
            <c:numRef>
              <c:f>'Analysis Worksheet'!$A$20:$G$20</c:f>
              <c:numCache>
                <c:formatCode>General</c:formatCode>
                <c:ptCount val="7"/>
              </c:numCache>
            </c:numRef>
          </c:val>
          <c:extLst>
            <c:ext xmlns:c16="http://schemas.microsoft.com/office/drawing/2014/chart" uri="{C3380CC4-5D6E-409C-BE32-E72D297353CC}">
              <c16:uniqueId val="{00000001-4837-473B-9D89-3D960752A57C}"/>
            </c:ext>
          </c:extLst>
        </c:ser>
        <c:dLbls>
          <c:showLegendKey val="0"/>
          <c:showVal val="0"/>
          <c:showCatName val="0"/>
          <c:showSerName val="0"/>
          <c:showPercent val="0"/>
          <c:showBubbleSize val="0"/>
        </c:dLbls>
        <c:gapWidth val="219"/>
        <c:overlap val="-27"/>
        <c:axId val="604684008"/>
        <c:axId val="604682696"/>
      </c:barChart>
      <c:catAx>
        <c:axId val="604684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682696"/>
        <c:crosses val="autoZero"/>
        <c:auto val="1"/>
        <c:lblAlgn val="ctr"/>
        <c:lblOffset val="100"/>
        <c:noMultiLvlLbl val="0"/>
      </c:catAx>
      <c:valAx>
        <c:axId val="604682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684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25F1CE7-912C-466A-A6CC-3DCDD0839B81}">
  <sheetPr/>
  <sheetViews>
    <sheetView zoomScale="11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1623" cy="628872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6</xdr:col>
      <xdr:colOff>1202531</xdr:colOff>
      <xdr:row>3</xdr:row>
      <xdr:rowOff>0</xdr:rowOff>
    </xdr:from>
    <xdr:to>
      <xdr:col>8</xdr:col>
      <xdr:colOff>244079</xdr:colOff>
      <xdr:row>13</xdr:row>
      <xdr:rowOff>38100</xdr:rowOff>
    </xdr:to>
    <xdr:pic>
      <xdr:nvPicPr>
        <xdr:cNvPr id="2" name="Picture 1">
          <a:extLst>
            <a:ext uri="{FF2B5EF4-FFF2-40B4-BE49-F238E27FC236}">
              <a16:creationId xmlns:a16="http://schemas.microsoft.com/office/drawing/2014/main" id="{5B112E89-0222-4C85-9E80-D035FF140FC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148" r="29479"/>
        <a:stretch/>
      </xdr:blipFill>
      <xdr:spPr bwMode="auto">
        <a:xfrm>
          <a:off x="6738937" y="964406"/>
          <a:ext cx="1666876"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eve\Downloads\Amortization%20Schedule%20With%20Extra%20Payment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mort%20Sched%20With%20Extra%20Paymen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 Sched With Extra Payments"/>
      <sheetName val="Copyright Info"/>
      <sheetName val="Copyright Info (2)"/>
    </sheetNames>
    <sheetDataSet>
      <sheetData sheetId="0">
        <row r="11">
          <cell r="F11" t="str">
            <v>Balance</v>
          </cell>
        </row>
        <row r="12">
          <cell r="A12">
            <v>0</v>
          </cell>
          <cell r="K12" t="str">
            <v>Balance</v>
          </cell>
        </row>
        <row r="13">
          <cell r="A13">
            <v>1</v>
          </cell>
          <cell r="J13">
            <v>0</v>
          </cell>
          <cell r="K13">
            <v>0</v>
          </cell>
        </row>
        <row r="14">
          <cell r="A14">
            <v>2</v>
          </cell>
          <cell r="J14">
            <v>0</v>
          </cell>
          <cell r="K14">
            <v>200000</v>
          </cell>
        </row>
        <row r="15">
          <cell r="A15">
            <v>3</v>
          </cell>
        </row>
        <row r="16">
          <cell r="A16">
            <v>4</v>
          </cell>
          <cell r="K16" t="str">
            <v>Remaining Loan Balance _x000D_After Payment 0 = 200,000.00</v>
          </cell>
        </row>
        <row r="17">
          <cell r="A17">
            <v>5</v>
          </cell>
        </row>
        <row r="18">
          <cell r="A18">
            <v>6</v>
          </cell>
        </row>
        <row r="19">
          <cell r="A19">
            <v>7</v>
          </cell>
        </row>
        <row r="20">
          <cell r="A20">
            <v>8</v>
          </cell>
        </row>
        <row r="21">
          <cell r="A21">
            <v>9</v>
          </cell>
        </row>
        <row r="22">
          <cell r="A22">
            <v>10</v>
          </cell>
        </row>
        <row r="23">
          <cell r="A23">
            <v>11</v>
          </cell>
        </row>
        <row r="24">
          <cell r="A24">
            <v>12</v>
          </cell>
        </row>
        <row r="25">
          <cell r="A25">
            <v>13</v>
          </cell>
        </row>
        <row r="26">
          <cell r="A26">
            <v>14</v>
          </cell>
        </row>
        <row r="27">
          <cell r="A27">
            <v>15</v>
          </cell>
        </row>
        <row r="28">
          <cell r="A28">
            <v>16</v>
          </cell>
        </row>
        <row r="29">
          <cell r="A29">
            <v>17</v>
          </cell>
        </row>
        <row r="30">
          <cell r="A30">
            <v>18</v>
          </cell>
        </row>
        <row r="31">
          <cell r="A31">
            <v>19</v>
          </cell>
        </row>
        <row r="32">
          <cell r="A32">
            <v>20</v>
          </cell>
        </row>
        <row r="33">
          <cell r="A33">
            <v>21</v>
          </cell>
        </row>
        <row r="34">
          <cell r="A34">
            <v>22</v>
          </cell>
        </row>
        <row r="35">
          <cell r="A35">
            <v>23</v>
          </cell>
        </row>
        <row r="36">
          <cell r="A36">
            <v>24</v>
          </cell>
        </row>
        <row r="37">
          <cell r="A37">
            <v>25</v>
          </cell>
        </row>
        <row r="38">
          <cell r="A38">
            <v>26</v>
          </cell>
        </row>
        <row r="39">
          <cell r="A39">
            <v>27</v>
          </cell>
        </row>
        <row r="40">
          <cell r="A40">
            <v>28</v>
          </cell>
        </row>
        <row r="41">
          <cell r="A41">
            <v>29</v>
          </cell>
        </row>
        <row r="42">
          <cell r="A42">
            <v>30</v>
          </cell>
        </row>
        <row r="43">
          <cell r="A43">
            <v>31</v>
          </cell>
        </row>
        <row r="44">
          <cell r="A44">
            <v>32</v>
          </cell>
        </row>
        <row r="45">
          <cell r="A45">
            <v>33</v>
          </cell>
        </row>
        <row r="46">
          <cell r="A46">
            <v>34</v>
          </cell>
        </row>
        <row r="47">
          <cell r="A47">
            <v>35</v>
          </cell>
        </row>
        <row r="48">
          <cell r="A48">
            <v>36</v>
          </cell>
        </row>
        <row r="49">
          <cell r="A49">
            <v>37</v>
          </cell>
        </row>
        <row r="50">
          <cell r="A50">
            <v>38</v>
          </cell>
        </row>
        <row r="51">
          <cell r="A51">
            <v>39</v>
          </cell>
        </row>
        <row r="52">
          <cell r="A52">
            <v>40</v>
          </cell>
        </row>
        <row r="53">
          <cell r="A53">
            <v>41</v>
          </cell>
        </row>
        <row r="54">
          <cell r="A54">
            <v>42</v>
          </cell>
        </row>
        <row r="55">
          <cell r="A55">
            <v>43</v>
          </cell>
        </row>
        <row r="56">
          <cell r="A56">
            <v>44</v>
          </cell>
        </row>
        <row r="57">
          <cell r="A57">
            <v>45</v>
          </cell>
        </row>
        <row r="58">
          <cell r="A58">
            <v>46</v>
          </cell>
        </row>
        <row r="59">
          <cell r="A59">
            <v>47</v>
          </cell>
        </row>
        <row r="60">
          <cell r="A60">
            <v>48</v>
          </cell>
        </row>
        <row r="61">
          <cell r="A61">
            <v>49</v>
          </cell>
        </row>
        <row r="62">
          <cell r="A62">
            <v>50</v>
          </cell>
        </row>
        <row r="63">
          <cell r="A63">
            <v>51</v>
          </cell>
        </row>
        <row r="64">
          <cell r="A64">
            <v>52</v>
          </cell>
        </row>
        <row r="65">
          <cell r="A65">
            <v>53</v>
          </cell>
        </row>
        <row r="66">
          <cell r="A66">
            <v>54</v>
          </cell>
        </row>
        <row r="67">
          <cell r="A67">
            <v>55</v>
          </cell>
        </row>
        <row r="68">
          <cell r="A68">
            <v>56</v>
          </cell>
        </row>
        <row r="69">
          <cell r="A69">
            <v>57</v>
          </cell>
        </row>
        <row r="70">
          <cell r="A70">
            <v>58</v>
          </cell>
        </row>
        <row r="71">
          <cell r="A71">
            <v>59</v>
          </cell>
        </row>
        <row r="72">
          <cell r="A72">
            <v>60</v>
          </cell>
        </row>
        <row r="73">
          <cell r="A73">
            <v>61</v>
          </cell>
        </row>
        <row r="74">
          <cell r="A74">
            <v>62</v>
          </cell>
        </row>
        <row r="75">
          <cell r="A75">
            <v>63</v>
          </cell>
        </row>
        <row r="76">
          <cell r="A76">
            <v>64</v>
          </cell>
        </row>
        <row r="77">
          <cell r="A77">
            <v>65</v>
          </cell>
        </row>
        <row r="78">
          <cell r="A78">
            <v>66</v>
          </cell>
        </row>
        <row r="79">
          <cell r="A79">
            <v>67</v>
          </cell>
        </row>
        <row r="80">
          <cell r="A80">
            <v>68</v>
          </cell>
        </row>
        <row r="81">
          <cell r="A81">
            <v>69</v>
          </cell>
        </row>
        <row r="82">
          <cell r="A82">
            <v>70</v>
          </cell>
        </row>
        <row r="83">
          <cell r="A83">
            <v>71</v>
          </cell>
        </row>
        <row r="84">
          <cell r="A84">
            <v>72</v>
          </cell>
        </row>
        <row r="85">
          <cell r="A85">
            <v>73</v>
          </cell>
        </row>
        <row r="86">
          <cell r="A86">
            <v>74</v>
          </cell>
        </row>
        <row r="87">
          <cell r="A87">
            <v>75</v>
          </cell>
        </row>
        <row r="88">
          <cell r="A88">
            <v>76</v>
          </cell>
        </row>
        <row r="89">
          <cell r="A89">
            <v>77</v>
          </cell>
        </row>
        <row r="90">
          <cell r="A90">
            <v>78</v>
          </cell>
        </row>
        <row r="91">
          <cell r="A91">
            <v>79</v>
          </cell>
        </row>
        <row r="92">
          <cell r="A92">
            <v>80</v>
          </cell>
        </row>
        <row r="93">
          <cell r="A93">
            <v>81</v>
          </cell>
        </row>
        <row r="94">
          <cell r="A94">
            <v>82</v>
          </cell>
        </row>
        <row r="95">
          <cell r="A95">
            <v>83</v>
          </cell>
        </row>
        <row r="96">
          <cell r="A96">
            <v>84</v>
          </cell>
        </row>
        <row r="97">
          <cell r="A97">
            <v>85</v>
          </cell>
        </row>
        <row r="98">
          <cell r="A98">
            <v>86</v>
          </cell>
        </row>
        <row r="99">
          <cell r="A99">
            <v>87</v>
          </cell>
        </row>
        <row r="100">
          <cell r="A100">
            <v>88</v>
          </cell>
        </row>
        <row r="101">
          <cell r="A101">
            <v>89</v>
          </cell>
        </row>
        <row r="102">
          <cell r="A102">
            <v>90</v>
          </cell>
        </row>
        <row r="103">
          <cell r="A103">
            <v>91</v>
          </cell>
        </row>
        <row r="104">
          <cell r="A104">
            <v>92</v>
          </cell>
        </row>
        <row r="105">
          <cell r="A105">
            <v>93</v>
          </cell>
        </row>
        <row r="106">
          <cell r="A106">
            <v>94</v>
          </cell>
        </row>
        <row r="107">
          <cell r="A107">
            <v>95</v>
          </cell>
        </row>
        <row r="108">
          <cell r="A108">
            <v>96</v>
          </cell>
        </row>
        <row r="109">
          <cell r="A109">
            <v>97</v>
          </cell>
        </row>
        <row r="110">
          <cell r="A110">
            <v>98</v>
          </cell>
        </row>
        <row r="111">
          <cell r="A111">
            <v>99</v>
          </cell>
        </row>
        <row r="112">
          <cell r="A112">
            <v>100</v>
          </cell>
        </row>
        <row r="113">
          <cell r="A113">
            <v>101</v>
          </cell>
        </row>
        <row r="114">
          <cell r="A114">
            <v>102</v>
          </cell>
        </row>
        <row r="115">
          <cell r="A115">
            <v>103</v>
          </cell>
        </row>
        <row r="116">
          <cell r="A116">
            <v>104</v>
          </cell>
        </row>
        <row r="117">
          <cell r="A117">
            <v>105</v>
          </cell>
        </row>
        <row r="118">
          <cell r="A118">
            <v>106</v>
          </cell>
        </row>
        <row r="119">
          <cell r="A119">
            <v>107</v>
          </cell>
        </row>
        <row r="120">
          <cell r="A120">
            <v>108</v>
          </cell>
        </row>
        <row r="121">
          <cell r="A121">
            <v>109</v>
          </cell>
        </row>
        <row r="122">
          <cell r="A122">
            <v>110</v>
          </cell>
        </row>
        <row r="123">
          <cell r="A123">
            <v>111</v>
          </cell>
        </row>
        <row r="124">
          <cell r="A124">
            <v>112</v>
          </cell>
        </row>
        <row r="125">
          <cell r="A125">
            <v>113</v>
          </cell>
        </row>
        <row r="126">
          <cell r="A126">
            <v>114</v>
          </cell>
        </row>
        <row r="127">
          <cell r="A127">
            <v>115</v>
          </cell>
        </row>
        <row r="128">
          <cell r="A128">
            <v>116</v>
          </cell>
        </row>
        <row r="129">
          <cell r="A129">
            <v>117</v>
          </cell>
        </row>
        <row r="130">
          <cell r="A130">
            <v>118</v>
          </cell>
        </row>
        <row r="131">
          <cell r="A131">
            <v>119</v>
          </cell>
        </row>
        <row r="132">
          <cell r="A132">
            <v>120</v>
          </cell>
        </row>
        <row r="133">
          <cell r="A133">
            <v>121</v>
          </cell>
        </row>
        <row r="134">
          <cell r="A134">
            <v>122</v>
          </cell>
        </row>
        <row r="135">
          <cell r="A135">
            <v>123</v>
          </cell>
        </row>
        <row r="136">
          <cell r="A136">
            <v>124</v>
          </cell>
        </row>
        <row r="137">
          <cell r="A137">
            <v>125</v>
          </cell>
        </row>
        <row r="138">
          <cell r="A138">
            <v>126</v>
          </cell>
        </row>
        <row r="139">
          <cell r="A139">
            <v>127</v>
          </cell>
        </row>
        <row r="140">
          <cell r="A140">
            <v>128</v>
          </cell>
        </row>
        <row r="141">
          <cell r="A141">
            <v>129</v>
          </cell>
        </row>
        <row r="142">
          <cell r="A142">
            <v>130</v>
          </cell>
        </row>
        <row r="143">
          <cell r="A143">
            <v>131</v>
          </cell>
        </row>
        <row r="144">
          <cell r="A144">
            <v>132</v>
          </cell>
        </row>
        <row r="145">
          <cell r="A145">
            <v>133</v>
          </cell>
        </row>
        <row r="146">
          <cell r="A146">
            <v>134</v>
          </cell>
        </row>
        <row r="147">
          <cell r="A147">
            <v>135</v>
          </cell>
        </row>
        <row r="148">
          <cell r="A148">
            <v>136</v>
          </cell>
        </row>
        <row r="149">
          <cell r="A149">
            <v>137</v>
          </cell>
        </row>
        <row r="150">
          <cell r="A150">
            <v>138</v>
          </cell>
        </row>
        <row r="151">
          <cell r="A151">
            <v>139</v>
          </cell>
        </row>
        <row r="152">
          <cell r="A152">
            <v>140</v>
          </cell>
        </row>
        <row r="153">
          <cell r="A153">
            <v>141</v>
          </cell>
        </row>
        <row r="154">
          <cell r="A154">
            <v>142</v>
          </cell>
        </row>
        <row r="155">
          <cell r="A155">
            <v>143</v>
          </cell>
        </row>
        <row r="156">
          <cell r="A156">
            <v>144</v>
          </cell>
        </row>
        <row r="157">
          <cell r="A157">
            <v>145</v>
          </cell>
        </row>
        <row r="158">
          <cell r="A158">
            <v>146</v>
          </cell>
        </row>
        <row r="159">
          <cell r="A159">
            <v>147</v>
          </cell>
        </row>
        <row r="160">
          <cell r="A160">
            <v>148</v>
          </cell>
        </row>
        <row r="161">
          <cell r="A161">
            <v>149</v>
          </cell>
        </row>
        <row r="162">
          <cell r="A162">
            <v>150</v>
          </cell>
        </row>
        <row r="163">
          <cell r="A163">
            <v>151</v>
          </cell>
        </row>
        <row r="164">
          <cell r="A164">
            <v>152</v>
          </cell>
        </row>
        <row r="165">
          <cell r="A165">
            <v>153</v>
          </cell>
        </row>
        <row r="166">
          <cell r="A166">
            <v>154</v>
          </cell>
        </row>
        <row r="167">
          <cell r="A167">
            <v>155</v>
          </cell>
        </row>
        <row r="168">
          <cell r="A168">
            <v>156</v>
          </cell>
        </row>
        <row r="169">
          <cell r="A169">
            <v>157</v>
          </cell>
        </row>
        <row r="170">
          <cell r="A170">
            <v>158</v>
          </cell>
        </row>
        <row r="171">
          <cell r="A171">
            <v>159</v>
          </cell>
        </row>
        <row r="172">
          <cell r="A172">
            <v>160</v>
          </cell>
        </row>
        <row r="173">
          <cell r="A173">
            <v>161</v>
          </cell>
        </row>
        <row r="174">
          <cell r="A174">
            <v>162</v>
          </cell>
        </row>
        <row r="175">
          <cell r="A175">
            <v>163</v>
          </cell>
        </row>
        <row r="176">
          <cell r="A176">
            <v>164</v>
          </cell>
        </row>
        <row r="177">
          <cell r="A177">
            <v>165</v>
          </cell>
        </row>
        <row r="178">
          <cell r="A178">
            <v>166</v>
          </cell>
        </row>
        <row r="179">
          <cell r="A179">
            <v>167</v>
          </cell>
        </row>
        <row r="180">
          <cell r="A180">
            <v>168</v>
          </cell>
        </row>
        <row r="181">
          <cell r="A181">
            <v>169</v>
          </cell>
        </row>
        <row r="182">
          <cell r="A182">
            <v>170</v>
          </cell>
        </row>
        <row r="183">
          <cell r="A183">
            <v>171</v>
          </cell>
        </row>
        <row r="184">
          <cell r="A184">
            <v>172</v>
          </cell>
        </row>
        <row r="185">
          <cell r="A185">
            <v>173</v>
          </cell>
        </row>
        <row r="186">
          <cell r="A186">
            <v>174</v>
          </cell>
        </row>
        <row r="187">
          <cell r="A187">
            <v>175</v>
          </cell>
        </row>
        <row r="188">
          <cell r="A188">
            <v>176</v>
          </cell>
        </row>
        <row r="189">
          <cell r="A189">
            <v>177</v>
          </cell>
        </row>
        <row r="190">
          <cell r="A190">
            <v>178</v>
          </cell>
        </row>
        <row r="191">
          <cell r="A191">
            <v>179</v>
          </cell>
        </row>
        <row r="192">
          <cell r="A192">
            <v>180</v>
          </cell>
        </row>
        <row r="193">
          <cell r="A193">
            <v>181</v>
          </cell>
        </row>
        <row r="194">
          <cell r="A194">
            <v>182</v>
          </cell>
        </row>
        <row r="195">
          <cell r="A195">
            <v>183</v>
          </cell>
        </row>
        <row r="196">
          <cell r="A196">
            <v>184</v>
          </cell>
        </row>
        <row r="197">
          <cell r="A197">
            <v>185</v>
          </cell>
        </row>
        <row r="198">
          <cell r="A198">
            <v>186</v>
          </cell>
        </row>
        <row r="199">
          <cell r="A199">
            <v>187</v>
          </cell>
        </row>
        <row r="200">
          <cell r="A200">
            <v>188</v>
          </cell>
        </row>
        <row r="201">
          <cell r="A201">
            <v>189</v>
          </cell>
        </row>
        <row r="202">
          <cell r="A202">
            <v>190</v>
          </cell>
        </row>
        <row r="203">
          <cell r="A203">
            <v>191</v>
          </cell>
        </row>
        <row r="204">
          <cell r="A204">
            <v>192</v>
          </cell>
        </row>
        <row r="205">
          <cell r="A205">
            <v>193</v>
          </cell>
        </row>
        <row r="206">
          <cell r="A206">
            <v>194</v>
          </cell>
        </row>
        <row r="207">
          <cell r="A207">
            <v>195</v>
          </cell>
        </row>
        <row r="208">
          <cell r="A208">
            <v>196</v>
          </cell>
        </row>
        <row r="209">
          <cell r="A209">
            <v>197</v>
          </cell>
        </row>
        <row r="210">
          <cell r="A210">
            <v>198</v>
          </cell>
        </row>
        <row r="211">
          <cell r="A211">
            <v>199</v>
          </cell>
        </row>
        <row r="212">
          <cell r="A212">
            <v>200</v>
          </cell>
        </row>
        <row r="213">
          <cell r="A213">
            <v>201</v>
          </cell>
        </row>
        <row r="214">
          <cell r="A214">
            <v>202</v>
          </cell>
        </row>
        <row r="215">
          <cell r="A215">
            <v>203</v>
          </cell>
        </row>
        <row r="216">
          <cell r="A216">
            <v>204</v>
          </cell>
        </row>
        <row r="217">
          <cell r="A217">
            <v>205</v>
          </cell>
        </row>
        <row r="218">
          <cell r="A218">
            <v>206</v>
          </cell>
        </row>
        <row r="219">
          <cell r="A219">
            <v>207</v>
          </cell>
        </row>
        <row r="220">
          <cell r="A220">
            <v>208</v>
          </cell>
        </row>
        <row r="221">
          <cell r="A221">
            <v>209</v>
          </cell>
        </row>
        <row r="222">
          <cell r="A222">
            <v>210</v>
          </cell>
        </row>
        <row r="223">
          <cell r="A223">
            <v>211</v>
          </cell>
        </row>
        <row r="224">
          <cell r="A224">
            <v>212</v>
          </cell>
        </row>
        <row r="225">
          <cell r="A225">
            <v>213</v>
          </cell>
        </row>
        <row r="226">
          <cell r="A226">
            <v>214</v>
          </cell>
        </row>
        <row r="227">
          <cell r="A227">
            <v>215</v>
          </cell>
        </row>
        <row r="228">
          <cell r="A228">
            <v>216</v>
          </cell>
        </row>
        <row r="229">
          <cell r="A229">
            <v>217</v>
          </cell>
        </row>
        <row r="230">
          <cell r="A230">
            <v>218</v>
          </cell>
        </row>
        <row r="231">
          <cell r="A231">
            <v>219</v>
          </cell>
        </row>
        <row r="232">
          <cell r="A232">
            <v>220</v>
          </cell>
        </row>
        <row r="233">
          <cell r="A233">
            <v>221</v>
          </cell>
        </row>
        <row r="234">
          <cell r="A234">
            <v>222</v>
          </cell>
        </row>
        <row r="235">
          <cell r="A235">
            <v>223</v>
          </cell>
        </row>
        <row r="236">
          <cell r="A236">
            <v>224</v>
          </cell>
        </row>
        <row r="237">
          <cell r="A237">
            <v>225</v>
          </cell>
        </row>
        <row r="238">
          <cell r="A238">
            <v>226</v>
          </cell>
        </row>
        <row r="239">
          <cell r="A239">
            <v>227</v>
          </cell>
        </row>
        <row r="240">
          <cell r="A240">
            <v>228</v>
          </cell>
        </row>
        <row r="241">
          <cell r="A241">
            <v>229</v>
          </cell>
        </row>
        <row r="242">
          <cell r="A242">
            <v>230</v>
          </cell>
        </row>
        <row r="243">
          <cell r="A243">
            <v>231</v>
          </cell>
        </row>
        <row r="244">
          <cell r="A244">
            <v>232</v>
          </cell>
        </row>
        <row r="245">
          <cell r="A245">
            <v>233</v>
          </cell>
        </row>
        <row r="246">
          <cell r="A246">
            <v>234</v>
          </cell>
        </row>
        <row r="247">
          <cell r="A247">
            <v>235</v>
          </cell>
        </row>
        <row r="248">
          <cell r="A248">
            <v>236</v>
          </cell>
        </row>
        <row r="249">
          <cell r="A249">
            <v>237</v>
          </cell>
        </row>
        <row r="250">
          <cell r="A250">
            <v>238</v>
          </cell>
        </row>
        <row r="251">
          <cell r="A251">
            <v>239</v>
          </cell>
        </row>
        <row r="252">
          <cell r="A252">
            <v>240</v>
          </cell>
        </row>
        <row r="253">
          <cell r="A253">
            <v>241</v>
          </cell>
        </row>
        <row r="254">
          <cell r="A254">
            <v>242</v>
          </cell>
        </row>
        <row r="255">
          <cell r="A255">
            <v>243</v>
          </cell>
        </row>
        <row r="256">
          <cell r="A256">
            <v>244</v>
          </cell>
        </row>
        <row r="257">
          <cell r="A257">
            <v>245</v>
          </cell>
        </row>
        <row r="258">
          <cell r="A258">
            <v>246</v>
          </cell>
        </row>
        <row r="259">
          <cell r="A259">
            <v>247</v>
          </cell>
        </row>
        <row r="260">
          <cell r="A260">
            <v>248</v>
          </cell>
        </row>
        <row r="261">
          <cell r="A261">
            <v>249</v>
          </cell>
        </row>
        <row r="262">
          <cell r="A262">
            <v>250</v>
          </cell>
        </row>
        <row r="263">
          <cell r="A263">
            <v>251</v>
          </cell>
        </row>
        <row r="264">
          <cell r="A264">
            <v>252</v>
          </cell>
        </row>
        <row r="265">
          <cell r="A265">
            <v>253</v>
          </cell>
        </row>
        <row r="266">
          <cell r="A266">
            <v>254</v>
          </cell>
        </row>
        <row r="267">
          <cell r="A267">
            <v>255</v>
          </cell>
        </row>
        <row r="268">
          <cell r="A268">
            <v>256</v>
          </cell>
        </row>
        <row r="269">
          <cell r="A269">
            <v>257</v>
          </cell>
        </row>
        <row r="270">
          <cell r="A270">
            <v>258</v>
          </cell>
        </row>
        <row r="271">
          <cell r="A271">
            <v>259</v>
          </cell>
        </row>
        <row r="272">
          <cell r="A272">
            <v>260</v>
          </cell>
        </row>
        <row r="273">
          <cell r="A273">
            <v>261</v>
          </cell>
        </row>
        <row r="274">
          <cell r="A274">
            <v>262</v>
          </cell>
        </row>
        <row r="275">
          <cell r="A275">
            <v>263</v>
          </cell>
        </row>
        <row r="276">
          <cell r="A276">
            <v>264</v>
          </cell>
        </row>
        <row r="277">
          <cell r="A277">
            <v>265</v>
          </cell>
        </row>
        <row r="278">
          <cell r="A278">
            <v>266</v>
          </cell>
        </row>
        <row r="279">
          <cell r="A279">
            <v>267</v>
          </cell>
        </row>
        <row r="280">
          <cell r="A280">
            <v>268</v>
          </cell>
        </row>
        <row r="281">
          <cell r="A281">
            <v>269</v>
          </cell>
        </row>
        <row r="282">
          <cell r="A282">
            <v>270</v>
          </cell>
        </row>
        <row r="283">
          <cell r="A283">
            <v>271</v>
          </cell>
        </row>
        <row r="284">
          <cell r="A284">
            <v>272</v>
          </cell>
        </row>
        <row r="285">
          <cell r="A285">
            <v>273</v>
          </cell>
        </row>
        <row r="286">
          <cell r="A286">
            <v>274</v>
          </cell>
        </row>
        <row r="287">
          <cell r="A287">
            <v>275</v>
          </cell>
        </row>
        <row r="288">
          <cell r="A288">
            <v>276</v>
          </cell>
        </row>
        <row r="289">
          <cell r="A289">
            <v>277</v>
          </cell>
        </row>
        <row r="290">
          <cell r="A290">
            <v>278</v>
          </cell>
        </row>
        <row r="291">
          <cell r="A291">
            <v>279</v>
          </cell>
        </row>
        <row r="292">
          <cell r="A292">
            <v>280</v>
          </cell>
        </row>
        <row r="293">
          <cell r="A293">
            <v>281</v>
          </cell>
        </row>
        <row r="294">
          <cell r="A294">
            <v>282</v>
          </cell>
        </row>
        <row r="295">
          <cell r="A295">
            <v>283</v>
          </cell>
        </row>
        <row r="296">
          <cell r="A296">
            <v>284</v>
          </cell>
        </row>
        <row r="297">
          <cell r="A297">
            <v>285</v>
          </cell>
        </row>
        <row r="298">
          <cell r="A298">
            <v>286</v>
          </cell>
        </row>
        <row r="299">
          <cell r="A299">
            <v>287</v>
          </cell>
        </row>
        <row r="300">
          <cell r="A300">
            <v>288</v>
          </cell>
        </row>
        <row r="301">
          <cell r="A301">
            <v>289</v>
          </cell>
        </row>
        <row r="302">
          <cell r="A302">
            <v>290</v>
          </cell>
        </row>
        <row r="303">
          <cell r="A303">
            <v>291</v>
          </cell>
        </row>
        <row r="304">
          <cell r="A304">
            <v>292</v>
          </cell>
        </row>
        <row r="305">
          <cell r="A305">
            <v>293</v>
          </cell>
        </row>
        <row r="306">
          <cell r="A306">
            <v>294</v>
          </cell>
        </row>
        <row r="307">
          <cell r="A307">
            <v>295</v>
          </cell>
        </row>
        <row r="308">
          <cell r="A308">
            <v>296</v>
          </cell>
        </row>
        <row r="309">
          <cell r="A309">
            <v>297</v>
          </cell>
        </row>
        <row r="310">
          <cell r="A310">
            <v>298</v>
          </cell>
        </row>
        <row r="311">
          <cell r="A311">
            <v>299</v>
          </cell>
        </row>
        <row r="312">
          <cell r="A312">
            <v>300</v>
          </cell>
        </row>
        <row r="313">
          <cell r="A313">
            <v>301</v>
          </cell>
        </row>
        <row r="314">
          <cell r="A314">
            <v>302</v>
          </cell>
        </row>
        <row r="315">
          <cell r="A315">
            <v>303</v>
          </cell>
        </row>
        <row r="316">
          <cell r="A316">
            <v>304</v>
          </cell>
        </row>
        <row r="317">
          <cell r="A317">
            <v>305</v>
          </cell>
        </row>
        <row r="318">
          <cell r="A318">
            <v>306</v>
          </cell>
        </row>
        <row r="319">
          <cell r="A319">
            <v>307</v>
          </cell>
        </row>
        <row r="320">
          <cell r="A320">
            <v>308</v>
          </cell>
        </row>
        <row r="321">
          <cell r="A321">
            <v>309</v>
          </cell>
        </row>
        <row r="322">
          <cell r="A322">
            <v>310</v>
          </cell>
        </row>
        <row r="323">
          <cell r="A323">
            <v>311</v>
          </cell>
        </row>
        <row r="324">
          <cell r="A324">
            <v>312</v>
          </cell>
        </row>
        <row r="325">
          <cell r="A325">
            <v>313</v>
          </cell>
        </row>
        <row r="326">
          <cell r="A326">
            <v>314</v>
          </cell>
        </row>
        <row r="327">
          <cell r="A327">
            <v>315</v>
          </cell>
        </row>
        <row r="328">
          <cell r="A328">
            <v>316</v>
          </cell>
        </row>
        <row r="329">
          <cell r="A329">
            <v>317</v>
          </cell>
        </row>
        <row r="330">
          <cell r="A330">
            <v>318</v>
          </cell>
        </row>
        <row r="331">
          <cell r="A331">
            <v>319</v>
          </cell>
        </row>
        <row r="332">
          <cell r="A332">
            <v>320</v>
          </cell>
        </row>
        <row r="333">
          <cell r="A333">
            <v>321</v>
          </cell>
        </row>
        <row r="334">
          <cell r="A334">
            <v>322</v>
          </cell>
        </row>
        <row r="335">
          <cell r="A335">
            <v>323</v>
          </cell>
        </row>
        <row r="336">
          <cell r="A336">
            <v>324</v>
          </cell>
        </row>
        <row r="337">
          <cell r="A337">
            <v>325</v>
          </cell>
        </row>
        <row r="338">
          <cell r="A338">
            <v>326</v>
          </cell>
        </row>
        <row r="339">
          <cell r="A339">
            <v>327</v>
          </cell>
        </row>
        <row r="340">
          <cell r="A340">
            <v>328</v>
          </cell>
        </row>
        <row r="341">
          <cell r="A341">
            <v>329</v>
          </cell>
        </row>
        <row r="342">
          <cell r="A342">
            <v>330</v>
          </cell>
        </row>
        <row r="343">
          <cell r="A343">
            <v>331</v>
          </cell>
        </row>
        <row r="344">
          <cell r="A344">
            <v>332</v>
          </cell>
        </row>
        <row r="345">
          <cell r="A345">
            <v>333</v>
          </cell>
        </row>
        <row r="346">
          <cell r="A346">
            <v>334</v>
          </cell>
        </row>
        <row r="347">
          <cell r="A347">
            <v>335</v>
          </cell>
        </row>
        <row r="348">
          <cell r="A348">
            <v>336</v>
          </cell>
        </row>
        <row r="349">
          <cell r="A349">
            <v>337</v>
          </cell>
        </row>
        <row r="350">
          <cell r="A350">
            <v>338</v>
          </cell>
        </row>
        <row r="351">
          <cell r="A351">
            <v>339</v>
          </cell>
        </row>
        <row r="352">
          <cell r="A352">
            <v>340</v>
          </cell>
        </row>
        <row r="353">
          <cell r="A353">
            <v>341</v>
          </cell>
        </row>
        <row r="354">
          <cell r="A354">
            <v>342</v>
          </cell>
        </row>
        <row r="355">
          <cell r="A355">
            <v>343</v>
          </cell>
        </row>
        <row r="356">
          <cell r="A356">
            <v>344</v>
          </cell>
        </row>
        <row r="357">
          <cell r="A357">
            <v>345</v>
          </cell>
        </row>
        <row r="358">
          <cell r="A358">
            <v>346</v>
          </cell>
        </row>
        <row r="359">
          <cell r="A359">
            <v>347</v>
          </cell>
        </row>
        <row r="360">
          <cell r="A360">
            <v>348</v>
          </cell>
        </row>
        <row r="361">
          <cell r="A361">
            <v>349</v>
          </cell>
        </row>
        <row r="362">
          <cell r="A362">
            <v>350</v>
          </cell>
        </row>
        <row r="363">
          <cell r="A363">
            <v>351</v>
          </cell>
        </row>
        <row r="364">
          <cell r="A364">
            <v>352</v>
          </cell>
        </row>
        <row r="365">
          <cell r="A365">
            <v>353</v>
          </cell>
        </row>
        <row r="366">
          <cell r="A366">
            <v>354</v>
          </cell>
        </row>
        <row r="367">
          <cell r="A367">
            <v>355</v>
          </cell>
        </row>
        <row r="368">
          <cell r="A368">
            <v>356</v>
          </cell>
        </row>
        <row r="369">
          <cell r="A369">
            <v>357</v>
          </cell>
        </row>
        <row r="370">
          <cell r="A370">
            <v>358</v>
          </cell>
        </row>
        <row r="371">
          <cell r="A371">
            <v>359</v>
          </cell>
        </row>
        <row r="372">
          <cell r="A372">
            <v>360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 Sched With Extra Payments"/>
    </sheetNames>
    <definedNames>
      <definedName name="BalanceRang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1"/>
  <sheetViews>
    <sheetView tabSelected="1" zoomScale="160" zoomScaleNormal="160" workbookViewId="0">
      <selection activeCell="F11" sqref="F11"/>
    </sheetView>
  </sheetViews>
  <sheetFormatPr defaultColWidth="9.140625" defaultRowHeight="19.5"/>
  <cols>
    <col min="1" max="1" width="7.140625" style="1" customWidth="1"/>
    <col min="2" max="2" width="41.85546875" style="1" customWidth="1"/>
    <col min="3" max="3" width="8.7109375" style="1" customWidth="1"/>
    <col min="4" max="4" width="6.7109375" style="1" customWidth="1"/>
    <col min="5" max="5" width="3.85546875" style="1" customWidth="1"/>
    <col min="6" max="6" width="14.7109375" style="1" customWidth="1"/>
    <col min="7" max="7" width="18.140625" style="7" customWidth="1"/>
    <col min="8" max="8" width="21.28515625" style="7" customWidth="1"/>
    <col min="9" max="9" width="17.85546875" style="1" customWidth="1"/>
    <col min="10" max="11" width="11.42578125" style="1" customWidth="1"/>
    <col min="12" max="12" width="25.85546875" style="1" bestFit="1" customWidth="1"/>
    <col min="13" max="256" width="11.42578125" style="1" customWidth="1"/>
    <col min="257" max="16384" width="9.140625" style="1"/>
  </cols>
  <sheetData>
    <row r="1" spans="1:14" ht="36.75" customHeight="1" thickBot="1">
      <c r="A1" s="213" t="s">
        <v>0</v>
      </c>
      <c r="B1" s="214"/>
      <c r="C1" s="214"/>
      <c r="D1" s="214"/>
      <c r="E1" s="214"/>
      <c r="F1" s="214"/>
      <c r="G1" s="215"/>
      <c r="I1" s="73"/>
      <c r="J1" s="73"/>
      <c r="K1" s="73"/>
      <c r="L1" s="73"/>
      <c r="M1" s="73"/>
      <c r="N1" s="73"/>
    </row>
    <row r="2" spans="1:14" ht="19.5" customHeight="1">
      <c r="A2" s="216" t="s">
        <v>1</v>
      </c>
      <c r="B2" s="217"/>
      <c r="C2" s="170"/>
      <c r="D2" s="170"/>
      <c r="E2" s="170"/>
      <c r="F2" s="170" t="s">
        <v>2</v>
      </c>
      <c r="G2" s="198"/>
      <c r="H2" s="74"/>
      <c r="I2" s="73"/>
      <c r="J2" s="73"/>
      <c r="K2" s="73"/>
      <c r="L2" s="73"/>
      <c r="M2" s="73"/>
      <c r="N2" s="73"/>
    </row>
    <row r="3" spans="1:14" ht="19.5" customHeight="1">
      <c r="A3" s="218" t="s">
        <v>132</v>
      </c>
      <c r="B3" s="219"/>
      <c r="C3" s="171"/>
      <c r="D3" s="171"/>
      <c r="E3" s="171"/>
      <c r="F3" s="161" t="s">
        <v>3</v>
      </c>
      <c r="G3" s="199">
        <v>250000</v>
      </c>
      <c r="H3" s="74"/>
      <c r="I3" s="73"/>
      <c r="J3" s="73"/>
      <c r="K3" s="73"/>
      <c r="L3" s="73"/>
      <c r="M3" s="73"/>
      <c r="N3" s="73"/>
    </row>
    <row r="4" spans="1:14" ht="6.75" customHeight="1" thickBot="1">
      <c r="A4" s="4"/>
      <c r="B4" s="54"/>
      <c r="C4" s="54"/>
      <c r="D4" s="54"/>
      <c r="E4" s="54"/>
      <c r="F4" s="54"/>
      <c r="G4" s="162"/>
      <c r="H4" s="74"/>
      <c r="I4" s="73"/>
      <c r="J4" s="73"/>
      <c r="K4" s="73"/>
      <c r="L4" s="73"/>
      <c r="M4" s="73"/>
      <c r="N4" s="73"/>
    </row>
    <row r="5" spans="1:14" ht="19.5" customHeight="1" thickBot="1">
      <c r="A5" s="210" t="s">
        <v>4</v>
      </c>
      <c r="B5" s="13" t="s">
        <v>5</v>
      </c>
      <c r="C5" s="88" t="s">
        <v>6</v>
      </c>
      <c r="D5" s="10"/>
      <c r="E5" s="10"/>
      <c r="F5" s="188">
        <v>300000</v>
      </c>
      <c r="G5" s="163"/>
      <c r="H5" s="74"/>
      <c r="I5" s="73"/>
      <c r="J5" s="73"/>
      <c r="K5" s="73"/>
      <c r="L5" s="73"/>
      <c r="M5" s="73"/>
      <c r="N5" s="73"/>
    </row>
    <row r="6" spans="1:14" ht="19.5" customHeight="1">
      <c r="A6" s="211"/>
      <c r="B6" s="14" t="s">
        <v>7</v>
      </c>
      <c r="C6" s="89"/>
      <c r="D6" s="6"/>
      <c r="E6" s="6"/>
      <c r="F6" s="189">
        <v>0</v>
      </c>
      <c r="G6" s="16"/>
      <c r="H6" s="74"/>
      <c r="L6" s="91"/>
    </row>
    <row r="7" spans="1:14" ht="21.75" customHeight="1">
      <c r="A7" s="211"/>
      <c r="B7" s="15" t="s">
        <v>8</v>
      </c>
      <c r="C7" s="42"/>
      <c r="F7" s="35">
        <f>(1-F6)*F5</f>
        <v>300000</v>
      </c>
      <c r="G7" s="17"/>
      <c r="H7" s="74"/>
    </row>
    <row r="8" spans="1:14" ht="19.5" customHeight="1">
      <c r="A8" s="211"/>
      <c r="B8" s="15" t="s">
        <v>9</v>
      </c>
      <c r="C8" s="42"/>
      <c r="F8" s="190">
        <v>0.2</v>
      </c>
      <c r="G8" s="17"/>
      <c r="H8" s="74"/>
    </row>
    <row r="9" spans="1:14" ht="21.75" customHeight="1">
      <c r="A9" s="211"/>
      <c r="B9" s="15" t="s">
        <v>10</v>
      </c>
      <c r="C9" s="42"/>
      <c r="F9" s="36">
        <f>F7*F8</f>
        <v>60000</v>
      </c>
      <c r="G9" s="17"/>
    </row>
    <row r="10" spans="1:14" ht="21.75" customHeight="1">
      <c r="A10" s="211"/>
      <c r="B10" s="15" t="s">
        <v>11</v>
      </c>
      <c r="C10" s="42"/>
      <c r="F10" s="36">
        <f>F7-F9</f>
        <v>240000</v>
      </c>
      <c r="G10" s="17"/>
    </row>
    <row r="11" spans="1:14" ht="21.75" customHeight="1">
      <c r="A11" s="211"/>
      <c r="B11" s="15" t="s">
        <v>12</v>
      </c>
      <c r="C11" s="42"/>
      <c r="F11" s="191">
        <v>0.04</v>
      </c>
      <c r="G11" s="17"/>
    </row>
    <row r="12" spans="1:14" ht="21.75" customHeight="1">
      <c r="A12" s="211"/>
      <c r="B12" s="15" t="s">
        <v>13</v>
      </c>
      <c r="C12" s="184">
        <v>0.02</v>
      </c>
      <c r="F12" s="57">
        <f>F7*C12</f>
        <v>6000</v>
      </c>
      <c r="G12" s="17"/>
    </row>
    <row r="13" spans="1:14" ht="21.75" customHeight="1">
      <c r="A13" s="211"/>
      <c r="B13" s="15" t="s">
        <v>14</v>
      </c>
      <c r="C13" s="42"/>
      <c r="F13" s="192">
        <v>3000</v>
      </c>
      <c r="G13" s="17"/>
      <c r="L13" s="91"/>
      <c r="M13" s="91"/>
    </row>
    <row r="14" spans="1:14" ht="21.75" customHeight="1">
      <c r="A14" s="211"/>
      <c r="B14" s="15" t="s">
        <v>15</v>
      </c>
      <c r="C14" s="42"/>
      <c r="F14" s="90">
        <f>F13+F12+F9</f>
        <v>69000</v>
      </c>
      <c r="G14" s="17"/>
    </row>
    <row r="15" spans="1:14" ht="21.75" customHeight="1">
      <c r="A15" s="211"/>
      <c r="B15" s="15" t="s">
        <v>16</v>
      </c>
      <c r="C15" s="42"/>
      <c r="F15" s="193">
        <v>30</v>
      </c>
      <c r="G15" s="17"/>
    </row>
    <row r="16" spans="1:14" ht="19.5" customHeight="1">
      <c r="A16" s="211"/>
      <c r="B16" s="15" t="s">
        <v>17</v>
      </c>
      <c r="C16" s="42"/>
      <c r="F16" s="34">
        <v>12</v>
      </c>
      <c r="G16" s="17"/>
    </row>
    <row r="17" spans="1:10" ht="6.75" customHeight="1">
      <c r="A17" s="211"/>
      <c r="B17" s="15"/>
      <c r="C17" s="84"/>
      <c r="F17" s="12"/>
      <c r="G17" s="17"/>
    </row>
    <row r="18" spans="1:10" ht="21.75" customHeight="1">
      <c r="A18" s="211"/>
      <c r="B18" s="15"/>
      <c r="C18" s="84"/>
      <c r="F18" s="12" t="s">
        <v>18</v>
      </c>
      <c r="G18" s="17" t="s">
        <v>19</v>
      </c>
      <c r="H18" s="224" t="s">
        <v>20</v>
      </c>
    </row>
    <row r="19" spans="1:10" ht="21.75" customHeight="1">
      <c r="A19" s="211"/>
      <c r="B19" s="28" t="s">
        <v>21</v>
      </c>
      <c r="C19" s="85"/>
      <c r="D19" s="29"/>
      <c r="E19" s="29"/>
      <c r="F19" s="32">
        <f>PMT(F11/F16,F15*F16,F10*-1)</f>
        <v>1145.7967091171026</v>
      </c>
      <c r="G19" s="33">
        <f>F19*12</f>
        <v>13749.560509405232</v>
      </c>
      <c r="H19" s="224"/>
      <c r="J19" s="23"/>
    </row>
    <row r="20" spans="1:10" ht="6.75" customHeight="1" thickBot="1">
      <c r="A20" s="212"/>
      <c r="B20" s="4"/>
      <c r="C20" s="5"/>
      <c r="D20" s="5"/>
      <c r="E20" s="5"/>
      <c r="F20" s="5"/>
      <c r="G20" s="18"/>
      <c r="H20" s="224"/>
    </row>
    <row r="21" spans="1:10" ht="21.75" customHeight="1" thickBot="1">
      <c r="A21" s="207" t="s">
        <v>22</v>
      </c>
      <c r="B21" s="19" t="s">
        <v>23</v>
      </c>
      <c r="C21" s="86" t="s">
        <v>6</v>
      </c>
      <c r="D21" s="8"/>
      <c r="E21" s="8"/>
      <c r="F21" s="8" t="s">
        <v>18</v>
      </c>
      <c r="G21" s="20" t="s">
        <v>19</v>
      </c>
      <c r="H21" s="224"/>
    </row>
    <row r="22" spans="1:10" ht="21.75" customHeight="1">
      <c r="A22" s="208"/>
      <c r="B22" s="2" t="s">
        <v>24</v>
      </c>
      <c r="C22" s="87"/>
      <c r="E22" s="1" t="s">
        <v>25</v>
      </c>
      <c r="F22" s="194">
        <v>2000</v>
      </c>
      <c r="G22" s="22">
        <f>F22*12</f>
        <v>24000</v>
      </c>
      <c r="H22" s="224"/>
    </row>
    <row r="23" spans="1:10" ht="21.75" customHeight="1">
      <c r="A23" s="208"/>
      <c r="B23" s="2" t="s">
        <v>26</v>
      </c>
      <c r="C23" s="87"/>
      <c r="E23" s="1" t="s">
        <v>25</v>
      </c>
      <c r="F23" s="194">
        <v>0</v>
      </c>
      <c r="G23" s="22">
        <f>F23*12</f>
        <v>0</v>
      </c>
      <c r="H23" s="224"/>
    </row>
    <row r="24" spans="1:10" ht="21.75" customHeight="1">
      <c r="A24" s="208"/>
      <c r="B24" s="2" t="s">
        <v>27</v>
      </c>
      <c r="C24" s="87"/>
      <c r="E24" s="1" t="s">
        <v>25</v>
      </c>
      <c r="F24" s="195"/>
      <c r="G24" s="24"/>
      <c r="H24" s="224"/>
    </row>
    <row r="25" spans="1:10" ht="21.75" customHeight="1" thickBot="1">
      <c r="A25" s="208"/>
      <c r="B25" s="2" t="s">
        <v>28</v>
      </c>
      <c r="C25" s="87"/>
      <c r="D25" s="21"/>
      <c r="E25" s="21" t="s">
        <v>25</v>
      </c>
      <c r="F25" s="196"/>
      <c r="G25" s="25"/>
      <c r="H25" s="224"/>
    </row>
    <row r="26" spans="1:10" ht="6.75" customHeight="1" thickTop="1">
      <c r="A26" s="208"/>
      <c r="B26" s="2"/>
      <c r="C26" s="87"/>
      <c r="F26" s="23"/>
      <c r="G26" s="24"/>
      <c r="H26" s="224"/>
    </row>
    <row r="27" spans="1:10" ht="21.75" customHeight="1">
      <c r="A27" s="208"/>
      <c r="B27" s="2" t="s">
        <v>29</v>
      </c>
      <c r="C27" s="87"/>
      <c r="E27" s="1" t="s">
        <v>30</v>
      </c>
      <c r="F27" s="76">
        <f>F25+F24+F23+F22</f>
        <v>2000</v>
      </c>
      <c r="G27" s="22">
        <f>SUM(G22:G25)</f>
        <v>24000</v>
      </c>
      <c r="H27" s="224"/>
    </row>
    <row r="28" spans="1:10" ht="21.75" customHeight="1" thickBot="1">
      <c r="A28" s="208"/>
      <c r="B28" s="2" t="s">
        <v>31</v>
      </c>
      <c r="C28" s="197">
        <v>0.02</v>
      </c>
      <c r="D28" s="29"/>
      <c r="E28" s="21" t="s">
        <v>32</v>
      </c>
      <c r="F28" s="77">
        <f>G28/12</f>
        <v>40</v>
      </c>
      <c r="G28" s="78">
        <f>G27*C28</f>
        <v>480</v>
      </c>
      <c r="H28" s="224"/>
    </row>
    <row r="29" spans="1:10" ht="21.75" customHeight="1" thickTop="1">
      <c r="A29" s="208"/>
      <c r="B29" s="30" t="s">
        <v>33</v>
      </c>
      <c r="C29" s="172"/>
      <c r="D29" s="29"/>
      <c r="E29" s="1" t="s">
        <v>30</v>
      </c>
      <c r="F29" s="31">
        <f>F27-F28</f>
        <v>1960</v>
      </c>
      <c r="G29" s="31">
        <f>G27-G28</f>
        <v>23520</v>
      </c>
      <c r="H29" s="224"/>
    </row>
    <row r="30" spans="1:10" ht="6.75" customHeight="1" thickBot="1">
      <c r="A30" s="208"/>
      <c r="B30" s="4"/>
      <c r="C30" s="5"/>
      <c r="D30" s="5"/>
      <c r="E30" s="5"/>
      <c r="F30" s="5"/>
      <c r="G30" s="18"/>
      <c r="H30" s="224"/>
    </row>
    <row r="31" spans="1:10" ht="21.75" customHeight="1" thickBot="1">
      <c r="A31" s="208"/>
      <c r="B31" s="19" t="s">
        <v>34</v>
      </c>
      <c r="C31" s="86" t="s">
        <v>6</v>
      </c>
      <c r="D31" s="8"/>
      <c r="E31" s="8"/>
      <c r="F31" s="8" t="s">
        <v>18</v>
      </c>
      <c r="G31" s="20" t="s">
        <v>19</v>
      </c>
      <c r="H31" s="224"/>
    </row>
    <row r="32" spans="1:10" ht="21.75" customHeight="1">
      <c r="A32" s="208"/>
      <c r="B32" s="2" t="s">
        <v>35</v>
      </c>
      <c r="C32" s="184">
        <v>0.08</v>
      </c>
      <c r="E32" s="1" t="s">
        <v>25</v>
      </c>
      <c r="F32" s="39">
        <f>C32*F27</f>
        <v>160</v>
      </c>
      <c r="G32" s="24">
        <f>F32*12</f>
        <v>1920</v>
      </c>
      <c r="H32" s="224"/>
    </row>
    <row r="33" spans="1:12" ht="21.75" customHeight="1">
      <c r="A33" s="208"/>
      <c r="B33" s="2" t="s">
        <v>36</v>
      </c>
      <c r="C33" s="27"/>
      <c r="E33" s="1" t="s">
        <v>25</v>
      </c>
      <c r="F33" s="39">
        <f>F27*C33</f>
        <v>0</v>
      </c>
      <c r="G33" s="24">
        <f>F33*12</f>
        <v>0</v>
      </c>
      <c r="H33" s="224"/>
    </row>
    <row r="34" spans="1:12" ht="21.75" customHeight="1">
      <c r="A34" s="208"/>
      <c r="B34" s="2" t="s">
        <v>37</v>
      </c>
      <c r="C34" s="184">
        <v>0.05</v>
      </c>
      <c r="E34" s="1" t="s">
        <v>25</v>
      </c>
      <c r="F34" s="39">
        <f>C34*F27</f>
        <v>100</v>
      </c>
      <c r="G34" s="24">
        <f>G29*C34</f>
        <v>1176</v>
      </c>
      <c r="H34" s="224"/>
      <c r="I34" s="23"/>
    </row>
    <row r="35" spans="1:12" ht="21.75" customHeight="1">
      <c r="A35" s="208"/>
      <c r="B35" s="2" t="s">
        <v>38</v>
      </c>
      <c r="C35" s="27"/>
      <c r="E35" s="1" t="s">
        <v>25</v>
      </c>
      <c r="F35" s="200">
        <v>5</v>
      </c>
      <c r="G35" s="24">
        <f>F35*12</f>
        <v>60</v>
      </c>
      <c r="H35" s="224"/>
    </row>
    <row r="36" spans="1:12" ht="21.75" customHeight="1">
      <c r="A36" s="208"/>
      <c r="B36" s="2" t="s">
        <v>39</v>
      </c>
      <c r="C36" s="27"/>
      <c r="E36" s="1" t="s">
        <v>25</v>
      </c>
      <c r="F36" s="39">
        <f>G36/12</f>
        <v>150</v>
      </c>
      <c r="G36" s="185">
        <v>1800</v>
      </c>
      <c r="H36" s="23"/>
    </row>
    <row r="37" spans="1:12" ht="21.75" customHeight="1">
      <c r="A37" s="208"/>
      <c r="B37" s="2" t="s">
        <v>40</v>
      </c>
      <c r="C37" s="27"/>
      <c r="E37" s="1" t="s">
        <v>25</v>
      </c>
      <c r="F37" s="39">
        <f>G37/12</f>
        <v>50</v>
      </c>
      <c r="G37" s="185">
        <v>600</v>
      </c>
      <c r="H37" s="23"/>
      <c r="L37" s="56"/>
    </row>
    <row r="38" spans="1:12" ht="21.75" customHeight="1" thickBot="1">
      <c r="A38" s="208"/>
      <c r="B38" s="2" t="s">
        <v>41</v>
      </c>
      <c r="C38" s="27"/>
      <c r="E38" s="21" t="s">
        <v>25</v>
      </c>
      <c r="F38" s="186">
        <v>65</v>
      </c>
      <c r="G38" s="25">
        <f>F38*12</f>
        <v>780</v>
      </c>
      <c r="H38" s="23"/>
    </row>
    <row r="39" spans="1:12" ht="6.75" customHeight="1" thickTop="1">
      <c r="A39" s="208"/>
      <c r="B39" s="2"/>
      <c r="F39" s="3"/>
      <c r="G39" s="17"/>
    </row>
    <row r="40" spans="1:12" ht="21.75" customHeight="1">
      <c r="A40" s="208"/>
      <c r="B40" s="30" t="s">
        <v>42</v>
      </c>
      <c r="C40" s="29"/>
      <c r="D40" s="29"/>
      <c r="E40" s="29" t="s">
        <v>30</v>
      </c>
      <c r="F40" s="40">
        <f>F32+F33+F34+F35+F36+F37+F38</f>
        <v>530</v>
      </c>
      <c r="G40" s="41">
        <f>G32+G33+G34+G35+G36+G37+G38</f>
        <v>6336</v>
      </c>
      <c r="H40" s="51"/>
    </row>
    <row r="41" spans="1:12" ht="6.75" customHeight="1" thickBot="1">
      <c r="A41" s="208"/>
      <c r="B41" s="4"/>
      <c r="C41" s="5"/>
      <c r="D41" s="5"/>
      <c r="E41" s="5"/>
      <c r="F41" s="5"/>
      <c r="G41" s="18"/>
    </row>
    <row r="42" spans="1:12" ht="21.75" customHeight="1" thickBot="1">
      <c r="A42" s="208"/>
      <c r="B42" s="9" t="s">
        <v>43</v>
      </c>
      <c r="C42" s="11"/>
      <c r="D42" s="11"/>
      <c r="E42" s="11"/>
      <c r="F42" s="8" t="s">
        <v>18</v>
      </c>
      <c r="G42" s="20" t="s">
        <v>19</v>
      </c>
      <c r="H42" s="50"/>
    </row>
    <row r="43" spans="1:12" ht="21.75" customHeight="1">
      <c r="A43" s="208"/>
      <c r="B43" s="2" t="s">
        <v>33</v>
      </c>
      <c r="F43" s="39">
        <f>F29</f>
        <v>1960</v>
      </c>
      <c r="G43" s="24">
        <f>G29</f>
        <v>23520</v>
      </c>
      <c r="H43" s="23"/>
    </row>
    <row r="44" spans="1:12" ht="21.75" customHeight="1">
      <c r="A44" s="208"/>
      <c r="B44" s="2" t="s">
        <v>42</v>
      </c>
      <c r="E44" s="42" t="s">
        <v>32</v>
      </c>
      <c r="F44" s="39">
        <f>F40</f>
        <v>530</v>
      </c>
      <c r="G44" s="24">
        <f>G40</f>
        <v>6336</v>
      </c>
      <c r="H44" s="23"/>
    </row>
    <row r="45" spans="1:12" ht="6.75" customHeight="1" thickBot="1">
      <c r="A45" s="208"/>
      <c r="B45" s="2"/>
      <c r="D45" s="21"/>
      <c r="E45" s="21"/>
      <c r="F45" s="37"/>
      <c r="G45" s="38"/>
    </row>
    <row r="46" spans="1:12" ht="21.75" customHeight="1" thickTop="1">
      <c r="A46" s="208"/>
      <c r="B46" s="30" t="s">
        <v>44</v>
      </c>
      <c r="C46" s="29"/>
      <c r="D46" s="29"/>
      <c r="E46" s="43" t="s">
        <v>30</v>
      </c>
      <c r="F46" s="79">
        <f>F43-F44</f>
        <v>1430</v>
      </c>
      <c r="G46" s="80">
        <f>G43-G44</f>
        <v>17184</v>
      </c>
      <c r="H46" s="51"/>
    </row>
    <row r="47" spans="1:12" ht="6.75" customHeight="1" thickBot="1">
      <c r="A47" s="208"/>
      <c r="B47" s="2"/>
      <c r="F47" s="3"/>
      <c r="G47" s="17"/>
    </row>
    <row r="48" spans="1:12" ht="21.75" customHeight="1" thickBot="1">
      <c r="A48" s="208"/>
      <c r="B48" s="9" t="s">
        <v>45</v>
      </c>
      <c r="C48" s="11"/>
      <c r="D48" s="11"/>
      <c r="E48" s="11"/>
      <c r="F48" s="8" t="s">
        <v>18</v>
      </c>
      <c r="G48" s="20" t="s">
        <v>19</v>
      </c>
      <c r="H48" s="50"/>
    </row>
    <row r="49" spans="1:12" ht="19.5" customHeight="1">
      <c r="A49" s="208"/>
      <c r="B49" s="2" t="s">
        <v>44</v>
      </c>
      <c r="D49" s="42"/>
      <c r="E49" s="42"/>
      <c r="F49" s="46">
        <f>F46</f>
        <v>1430</v>
      </c>
      <c r="G49" s="47">
        <f>G46</f>
        <v>17184</v>
      </c>
      <c r="H49" s="46"/>
    </row>
    <row r="50" spans="1:12" ht="19.5" customHeight="1">
      <c r="A50" s="208"/>
      <c r="B50" s="2" t="s">
        <v>21</v>
      </c>
      <c r="D50" s="42"/>
      <c r="E50" s="42" t="s">
        <v>32</v>
      </c>
      <c r="F50" s="46">
        <f>F19</f>
        <v>1145.7967091171026</v>
      </c>
      <c r="G50" s="47">
        <f>G19</f>
        <v>13749.560509405232</v>
      </c>
      <c r="H50" s="46"/>
    </row>
    <row r="51" spans="1:12" ht="6.75" customHeight="1" thickBot="1">
      <c r="A51" s="208"/>
      <c r="B51" s="2"/>
      <c r="D51" s="44"/>
      <c r="E51" s="44"/>
      <c r="F51" s="44"/>
      <c r="G51" s="45"/>
      <c r="H51" s="52"/>
    </row>
    <row r="52" spans="1:12" ht="19.5" customHeight="1" thickTop="1">
      <c r="A52" s="208"/>
      <c r="B52" s="30" t="s">
        <v>46</v>
      </c>
      <c r="C52" s="29"/>
      <c r="D52" s="43"/>
      <c r="E52" s="43" t="s">
        <v>30</v>
      </c>
      <c r="F52" s="48">
        <f>F49-F50</f>
        <v>284.20329088289736</v>
      </c>
      <c r="G52" s="49">
        <f>F52*12</f>
        <v>3410.4394905947684</v>
      </c>
      <c r="H52" s="53"/>
    </row>
    <row r="53" spans="1:12" ht="6.75" customHeight="1" thickBot="1">
      <c r="A53" s="208"/>
      <c r="B53" s="4"/>
      <c r="C53" s="5"/>
      <c r="D53" s="5"/>
      <c r="E53" s="5"/>
      <c r="F53" s="5"/>
      <c r="G53" s="18"/>
    </row>
    <row r="54" spans="1:12" ht="21" customHeight="1" thickBot="1">
      <c r="A54" s="207" t="s">
        <v>47</v>
      </c>
      <c r="B54" s="9" t="s">
        <v>48</v>
      </c>
      <c r="C54" s="95"/>
      <c r="D54" s="11"/>
      <c r="E54" s="11"/>
      <c r="F54" s="225" t="s">
        <v>49</v>
      </c>
      <c r="G54" s="225"/>
      <c r="H54" s="151">
        <f>'ROI Analysis'!W4</f>
        <v>5.7279999999999998E-2</v>
      </c>
      <c r="L54" s="46"/>
    </row>
    <row r="55" spans="1:12" ht="14.1" customHeight="1" thickBot="1">
      <c r="A55" s="208"/>
      <c r="B55" s="99" t="s">
        <v>50</v>
      </c>
      <c r="C55" s="187"/>
      <c r="D55" s="96"/>
      <c r="E55" s="96"/>
      <c r="F55" s="96"/>
      <c r="G55" s="96"/>
      <c r="H55" s="97"/>
      <c r="L55" s="46"/>
    </row>
    <row r="56" spans="1:12" ht="14.1" customHeight="1">
      <c r="A56" s="208"/>
      <c r="B56" s="201" t="s">
        <v>51</v>
      </c>
      <c r="C56" s="204">
        <v>1.4999999999999999E-2</v>
      </c>
      <c r="D56" s="96"/>
      <c r="E56" s="96"/>
      <c r="F56" s="96"/>
      <c r="G56" s="96"/>
      <c r="H56" s="97"/>
      <c r="L56" s="46"/>
    </row>
    <row r="57" spans="1:12" ht="14.1" customHeight="1">
      <c r="A57" s="208"/>
      <c r="B57" s="203" t="s">
        <v>52</v>
      </c>
      <c r="C57" s="205">
        <v>0.03</v>
      </c>
      <c r="D57" s="96"/>
      <c r="E57" s="96"/>
      <c r="F57" s="96"/>
      <c r="G57" s="96"/>
      <c r="H57" s="97"/>
      <c r="L57" s="46"/>
    </row>
    <row r="58" spans="1:12" ht="14.1" customHeight="1" thickBot="1">
      <c r="A58" s="208"/>
      <c r="B58" s="202" t="s">
        <v>53</v>
      </c>
      <c r="C58" s="206">
        <v>0.04</v>
      </c>
      <c r="G58" s="1"/>
      <c r="H58" s="148"/>
    </row>
    <row r="59" spans="1:12" ht="21" customHeight="1">
      <c r="A59" s="208"/>
      <c r="B59" s="98"/>
      <c r="C59" s="226" t="s">
        <v>54</v>
      </c>
      <c r="D59" s="226"/>
      <c r="E59" s="226"/>
      <c r="F59" s="43" t="s">
        <v>55</v>
      </c>
      <c r="G59" s="149" t="s">
        <v>56</v>
      </c>
      <c r="H59" s="150" t="s">
        <v>57</v>
      </c>
    </row>
    <row r="60" spans="1:12" ht="21" customHeight="1">
      <c r="A60" s="208"/>
      <c r="B60" s="15" t="s">
        <v>58</v>
      </c>
      <c r="C60" s="220">
        <f>G29</f>
        <v>23520</v>
      </c>
      <c r="D60" s="220"/>
      <c r="E60" s="220"/>
      <c r="F60" s="26">
        <f>'ROI Analysis'!E8</f>
        <v>26471.967211199997</v>
      </c>
      <c r="G60" s="26">
        <f>'ROI Analysis'!E13</f>
        <v>30688.26528366383</v>
      </c>
      <c r="H60" s="92">
        <f>'ROI Analysis'!E18</f>
        <v>35576.110328592222</v>
      </c>
    </row>
    <row r="61" spans="1:12" ht="21" customHeight="1">
      <c r="A61" s="208"/>
      <c r="B61" s="15" t="s">
        <v>59</v>
      </c>
      <c r="C61" s="220">
        <f>G40</f>
        <v>6336</v>
      </c>
      <c r="D61" s="220"/>
      <c r="E61" s="220"/>
      <c r="F61" s="26">
        <f>'ROI Analysis'!G8</f>
        <v>6724.7994567599999</v>
      </c>
      <c r="G61" s="26">
        <f>'ROI Analysis'!G13</f>
        <v>7244.5188840978826</v>
      </c>
      <c r="H61" s="92">
        <f>'ROI Analysis'!G18</f>
        <v>7804.404309676931</v>
      </c>
    </row>
    <row r="62" spans="1:12" ht="21" customHeight="1">
      <c r="A62" s="208"/>
      <c r="B62" s="15" t="s">
        <v>60</v>
      </c>
      <c r="C62" s="220">
        <f>G52</f>
        <v>3410.4394905947684</v>
      </c>
      <c r="D62" s="220"/>
      <c r="E62" s="220"/>
      <c r="F62" s="26">
        <f>F60-F61-G50</f>
        <v>5997.6072450347656</v>
      </c>
      <c r="G62" s="26">
        <f>G60-G61-G50</f>
        <v>9694.1858901607175</v>
      </c>
      <c r="H62" s="92">
        <f>H60-H61-G50</f>
        <v>14022.145509510059</v>
      </c>
    </row>
    <row r="63" spans="1:12" ht="21" customHeight="1">
      <c r="A63" s="208"/>
      <c r="B63" s="15" t="s">
        <v>53</v>
      </c>
      <c r="C63" s="220">
        <f>'ROI Analysis'!P4</f>
        <v>312000</v>
      </c>
      <c r="D63" s="220"/>
      <c r="E63" s="220"/>
      <c r="F63" s="26">
        <f>'ROI Analysis'!P8</f>
        <v>364995.87072000006</v>
      </c>
      <c r="G63" s="26">
        <f>'ROI Analysis'!P13</f>
        <v>444073.2854755033</v>
      </c>
      <c r="H63" s="92">
        <f>'ROI Analysis'!P18</f>
        <v>540283.05165207502</v>
      </c>
    </row>
    <row r="64" spans="1:12" ht="21" customHeight="1">
      <c r="A64" s="208"/>
      <c r="B64" s="15" t="s">
        <v>61</v>
      </c>
      <c r="C64" s="220">
        <f>C63-C65</f>
        <v>76226.487439804943</v>
      </c>
      <c r="D64" s="220"/>
      <c r="E64" s="220"/>
      <c r="F64" s="26">
        <f>F63-F65</f>
        <v>147921.83919338178</v>
      </c>
      <c r="G64" s="26">
        <f>G63-G65</f>
        <v>254991.78336770838</v>
      </c>
      <c r="H64" s="92">
        <f>H63-H65</f>
        <v>385380.3326204879</v>
      </c>
    </row>
    <row r="65" spans="1:8" ht="21" customHeight="1">
      <c r="A65" s="208"/>
      <c r="B65" s="15" t="s">
        <v>62</v>
      </c>
      <c r="C65" s="220">
        <f>'Interest Calculations'!E16</f>
        <v>235773.51256019506</v>
      </c>
      <c r="D65" s="220"/>
      <c r="E65" s="220"/>
      <c r="F65" s="26">
        <f>'Interest Calculations'!E64</f>
        <v>217074.03152661829</v>
      </c>
      <c r="G65" s="26">
        <f>'Interest Calculations'!E124</f>
        <v>189081.50210779492</v>
      </c>
      <c r="H65" s="92">
        <f>'Interest Calculations'!E184</f>
        <v>154902.7190315871</v>
      </c>
    </row>
    <row r="66" spans="1:8" ht="21" customHeight="1">
      <c r="A66" s="208"/>
      <c r="B66" s="15" t="s">
        <v>63</v>
      </c>
      <c r="C66" s="220">
        <f>('ROI Analysis'!P4-'ROI Analysis'!R4-F14)-('ROI Analysis'!P4*0.08)</f>
        <v>-17733.512560195057</v>
      </c>
      <c r="D66" s="220"/>
      <c r="E66" s="220"/>
      <c r="F66" s="26">
        <f>(F63-F65-F14)-(F63*0.08)</f>
        <v>49722.169535781766</v>
      </c>
      <c r="G66" s="26">
        <f>(G63-G65-F14)-(G63*0.08)</f>
        <v>150465.9205296681</v>
      </c>
      <c r="H66" s="92">
        <f>(H63-H65-F14)-(H63*0.08)</f>
        <v>273157.6884883219</v>
      </c>
    </row>
    <row r="67" spans="1:8" ht="21" customHeight="1">
      <c r="A67" s="208"/>
      <c r="B67" s="15" t="s">
        <v>64</v>
      </c>
      <c r="C67" s="221">
        <f>'ROI Analysis'!Y4</f>
        <v>4.9774485370938669E-2</v>
      </c>
      <c r="D67" s="221"/>
      <c r="E67" s="221"/>
      <c r="F67" s="27">
        <f>F62/(F9+F13+F12)</f>
        <v>8.6921844130938633E-2</v>
      </c>
      <c r="G67" s="27">
        <f>G62/(F9+F13+F12)</f>
        <v>0.14049544768348865</v>
      </c>
      <c r="H67" s="93">
        <f>H62/(F9+F13+F12)</f>
        <v>0.20321950013782694</v>
      </c>
    </row>
    <row r="68" spans="1:8" ht="21" customHeight="1">
      <c r="A68" s="208"/>
      <c r="B68" s="15" t="s">
        <v>65</v>
      </c>
      <c r="C68" s="221">
        <f>'ROI Analysis'!AH19</f>
        <v>-0.20723294303768525</v>
      </c>
      <c r="D68" s="221"/>
      <c r="E68" s="221"/>
      <c r="F68" s="27">
        <f>'ROI Analysis'!AL19</f>
        <v>0.16628812616249711</v>
      </c>
      <c r="G68" s="27">
        <f>'ROI Analysis'!AP19</f>
        <v>0.17473614069848309</v>
      </c>
      <c r="H68" s="93">
        <f>'ROI Analysis'!AT19</f>
        <v>0.16589264631740575</v>
      </c>
    </row>
    <row r="69" spans="1:8" ht="21" customHeight="1" thickBot="1">
      <c r="A69" s="209"/>
      <c r="B69" s="83" t="s">
        <v>66</v>
      </c>
      <c r="C69" s="222">
        <f>'ROI Analysis'!X4</f>
        <v>0.28494097000579283</v>
      </c>
      <c r="D69" s="223"/>
      <c r="E69" s="223"/>
      <c r="F69" s="75">
        <f>'ROI Analysis'!X8</f>
        <v>0.36223796243599432</v>
      </c>
      <c r="G69" s="75">
        <f>'ROI Analysis'!X13</f>
        <v>0.47577175043784015</v>
      </c>
      <c r="H69" s="94">
        <f>'ROI Analysis'!X18</f>
        <v>0.61151551905102064</v>
      </c>
    </row>
    <row r="71" spans="1:8">
      <c r="F71" s="91"/>
      <c r="H71" s="55"/>
    </row>
  </sheetData>
  <sheetProtection sheet="1" objects="1" scenarios="1" selectLockedCells="1"/>
  <dataConsolidate/>
  <mergeCells count="19">
    <mergeCell ref="H18:H35"/>
    <mergeCell ref="F54:G54"/>
    <mergeCell ref="C59:E59"/>
    <mergeCell ref="C60:E60"/>
    <mergeCell ref="C61:E61"/>
    <mergeCell ref="A54:A69"/>
    <mergeCell ref="A5:A20"/>
    <mergeCell ref="A1:G1"/>
    <mergeCell ref="A21:A53"/>
    <mergeCell ref="A2:B2"/>
    <mergeCell ref="A3:B3"/>
    <mergeCell ref="C62:E62"/>
    <mergeCell ref="C63:E63"/>
    <mergeCell ref="C64:E64"/>
    <mergeCell ref="C65:E65"/>
    <mergeCell ref="C66:E66"/>
    <mergeCell ref="C67:E67"/>
    <mergeCell ref="C68:E68"/>
    <mergeCell ref="C69:E69"/>
  </mergeCells>
  <phoneticPr fontId="3" type="noConversion"/>
  <pageMargins left="0.5" right="0.5" top="0.5" bottom="0.5" header="0.5" footer="0.5"/>
  <pageSetup scale="5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4"/>
  <sheetViews>
    <sheetView workbookViewId="0">
      <selection activeCell="C29" sqref="C29"/>
    </sheetView>
  </sheetViews>
  <sheetFormatPr defaultColWidth="10.28515625" defaultRowHeight="14.25"/>
  <cols>
    <col min="1" max="1" width="12" style="61" bestFit="1" customWidth="1"/>
    <col min="2" max="2" width="12" style="61" customWidth="1"/>
    <col min="3" max="3" width="11.28515625" style="61" customWidth="1"/>
    <col min="4" max="4" width="9.7109375" style="61" customWidth="1"/>
    <col min="5" max="5" width="19.7109375" style="61" customWidth="1"/>
    <col min="6" max="7" width="20.28515625" style="61" customWidth="1"/>
    <col min="8" max="9" width="7.7109375" style="61" customWidth="1"/>
    <col min="10" max="16384" width="10.28515625" style="61"/>
  </cols>
  <sheetData>
    <row r="1" spans="1:9" ht="12" customHeight="1">
      <c r="A1" s="58" t="s">
        <v>67</v>
      </c>
      <c r="B1" s="58"/>
      <c r="C1" s="59">
        <f>'Analysis Worksheet'!F10</f>
        <v>240000</v>
      </c>
      <c r="D1" s="60"/>
      <c r="E1" s="60"/>
      <c r="F1" s="60"/>
      <c r="G1" s="60"/>
      <c r="H1" s="60"/>
      <c r="I1" s="60"/>
    </row>
    <row r="2" spans="1:9" ht="12" customHeight="1">
      <c r="A2" s="58" t="s">
        <v>12</v>
      </c>
      <c r="B2" s="58"/>
      <c r="C2" s="62">
        <f>'Analysis Worksheet'!F11</f>
        <v>0.04</v>
      </c>
      <c r="D2" s="60"/>
      <c r="E2" s="60"/>
      <c r="F2" s="60"/>
      <c r="G2" s="60"/>
      <c r="H2" s="60"/>
      <c r="I2" s="60"/>
    </row>
    <row r="3" spans="1:9" ht="12" customHeight="1">
      <c r="A3" s="58" t="s">
        <v>68</v>
      </c>
      <c r="B3" s="58"/>
      <c r="C3" s="63">
        <f>'Analysis Worksheet'!F16*'Analysis Worksheet'!F15</f>
        <v>360</v>
      </c>
      <c r="D3" s="60"/>
      <c r="E3" s="60"/>
      <c r="F3" s="60"/>
      <c r="G3" s="60"/>
      <c r="H3" s="60"/>
      <c r="I3" s="60"/>
    </row>
    <row r="4" spans="1:9" ht="12" customHeight="1">
      <c r="A4" s="58" t="s">
        <v>69</v>
      </c>
      <c r="B4" s="58"/>
      <c r="C4" s="58" t="s">
        <v>70</v>
      </c>
      <c r="D4" s="58" t="s">
        <v>71</v>
      </c>
      <c r="E4" s="58" t="s">
        <v>72</v>
      </c>
      <c r="F4" s="58" t="s">
        <v>73</v>
      </c>
      <c r="G4" s="58" t="s">
        <v>74</v>
      </c>
      <c r="H4" s="58" t="s">
        <v>75</v>
      </c>
      <c r="I4" s="60"/>
    </row>
    <row r="5" spans="1:9" ht="12" customHeight="1">
      <c r="A5" s="69">
        <v>1</v>
      </c>
      <c r="B5" s="69"/>
      <c r="C5" s="70">
        <f t="shared" ref="C5:C68" si="0">PPMT(C$2/12,A5,C$3,C$1*-1)</f>
        <v>345.79670911710269</v>
      </c>
      <c r="D5" s="70">
        <f t="shared" ref="D5:D68" si="1">IPMT(C$2/12,A5,C$3,C$1*-1)</f>
        <v>800</v>
      </c>
      <c r="E5" s="70"/>
      <c r="F5" s="70"/>
      <c r="G5" s="70"/>
      <c r="H5" s="71">
        <f t="shared" ref="H5:H68" si="2">ROUNDUP(A5/12,0)</f>
        <v>1</v>
      </c>
      <c r="I5" s="60"/>
    </row>
    <row r="6" spans="1:9" ht="12" customHeight="1">
      <c r="A6" s="69">
        <v>2</v>
      </c>
      <c r="B6" s="69"/>
      <c r="C6" s="70">
        <f t="shared" si="0"/>
        <v>346.94936481415976</v>
      </c>
      <c r="D6" s="70">
        <f t="shared" si="1"/>
        <v>798.84734430294282</v>
      </c>
      <c r="E6" s="70"/>
      <c r="F6" s="70"/>
      <c r="G6" s="70"/>
      <c r="H6" s="71">
        <f t="shared" si="2"/>
        <v>1</v>
      </c>
      <c r="I6" s="60"/>
    </row>
    <row r="7" spans="1:9" ht="12" customHeight="1">
      <c r="A7" s="69">
        <v>3</v>
      </c>
      <c r="B7" s="69"/>
      <c r="C7" s="70">
        <f t="shared" si="0"/>
        <v>348.10586269687366</v>
      </c>
      <c r="D7" s="70">
        <f t="shared" si="1"/>
        <v>797.69084642022915</v>
      </c>
      <c r="E7" s="70"/>
      <c r="F7" s="70"/>
      <c r="G7" s="70"/>
      <c r="H7" s="71">
        <f t="shared" si="2"/>
        <v>1</v>
      </c>
      <c r="I7" s="60"/>
    </row>
    <row r="8" spans="1:9" ht="12" customHeight="1">
      <c r="A8" s="69">
        <v>4</v>
      </c>
      <c r="B8" s="69"/>
      <c r="C8" s="70">
        <f t="shared" si="0"/>
        <v>349.26621557252986</v>
      </c>
      <c r="D8" s="70">
        <f t="shared" si="1"/>
        <v>796.53049354457278</v>
      </c>
      <c r="E8" s="70"/>
      <c r="F8" s="70"/>
      <c r="G8" s="70"/>
      <c r="H8" s="71">
        <f t="shared" si="2"/>
        <v>1</v>
      </c>
      <c r="I8" s="60"/>
    </row>
    <row r="9" spans="1:9" ht="12" customHeight="1">
      <c r="A9" s="69">
        <v>5</v>
      </c>
      <c r="B9" s="69"/>
      <c r="C9" s="70">
        <f t="shared" si="0"/>
        <v>350.43043629110497</v>
      </c>
      <c r="D9" s="70">
        <f t="shared" si="1"/>
        <v>795.36627282599773</v>
      </c>
      <c r="E9" s="70"/>
      <c r="F9" s="70"/>
      <c r="G9" s="70"/>
      <c r="H9" s="71">
        <f t="shared" si="2"/>
        <v>1</v>
      </c>
      <c r="I9" s="60"/>
    </row>
    <row r="10" spans="1:9" ht="12" customHeight="1">
      <c r="A10" s="69">
        <v>6</v>
      </c>
      <c r="B10" s="69"/>
      <c r="C10" s="70">
        <f t="shared" si="0"/>
        <v>351.59853774540863</v>
      </c>
      <c r="D10" s="70">
        <f t="shared" si="1"/>
        <v>794.19817137169412</v>
      </c>
      <c r="E10" s="70"/>
      <c r="F10" s="70"/>
      <c r="G10" s="70"/>
      <c r="H10" s="71">
        <f t="shared" si="2"/>
        <v>1</v>
      </c>
      <c r="I10" s="60"/>
    </row>
    <row r="11" spans="1:9" ht="12" customHeight="1">
      <c r="A11" s="69">
        <v>7</v>
      </c>
      <c r="B11" s="69"/>
      <c r="C11" s="70">
        <f t="shared" si="0"/>
        <v>352.77053287122669</v>
      </c>
      <c r="D11" s="70">
        <f t="shared" si="1"/>
        <v>793.02617624587606</v>
      </c>
      <c r="E11" s="70"/>
      <c r="F11" s="70"/>
      <c r="G11" s="70"/>
      <c r="H11" s="71">
        <f t="shared" si="2"/>
        <v>1</v>
      </c>
      <c r="I11" s="60"/>
    </row>
    <row r="12" spans="1:9" ht="12" customHeight="1">
      <c r="A12" s="69">
        <v>8</v>
      </c>
      <c r="B12" s="69"/>
      <c r="C12" s="70">
        <f t="shared" si="0"/>
        <v>353.94643464746406</v>
      </c>
      <c r="D12" s="70">
        <f t="shared" si="1"/>
        <v>791.85027446963863</v>
      </c>
      <c r="E12" s="70"/>
      <c r="F12" s="70"/>
      <c r="G12" s="70"/>
      <c r="H12" s="71">
        <f t="shared" si="2"/>
        <v>1</v>
      </c>
      <c r="I12" s="60"/>
    </row>
    <row r="13" spans="1:9" ht="12" customHeight="1">
      <c r="A13" s="69">
        <v>9</v>
      </c>
      <c r="B13" s="69"/>
      <c r="C13" s="70">
        <f t="shared" si="0"/>
        <v>355.12625609628896</v>
      </c>
      <c r="D13" s="70">
        <f t="shared" si="1"/>
        <v>790.67045302081374</v>
      </c>
      <c r="E13" s="70"/>
      <c r="F13" s="70"/>
      <c r="G13" s="70"/>
      <c r="H13" s="71">
        <f t="shared" si="2"/>
        <v>1</v>
      </c>
      <c r="I13" s="60"/>
    </row>
    <row r="14" spans="1:9" ht="12" customHeight="1">
      <c r="A14" s="69">
        <v>10</v>
      </c>
      <c r="B14" s="69"/>
      <c r="C14" s="70">
        <f t="shared" si="0"/>
        <v>356.31001028327654</v>
      </c>
      <c r="D14" s="70">
        <f t="shared" si="1"/>
        <v>789.48669883382604</v>
      </c>
      <c r="E14" s="70"/>
      <c r="F14" s="70"/>
      <c r="G14" s="70"/>
      <c r="H14" s="71">
        <f t="shared" si="2"/>
        <v>1</v>
      </c>
      <c r="I14" s="60"/>
    </row>
    <row r="15" spans="1:9" ht="12" customHeight="1">
      <c r="A15" s="69">
        <v>11</v>
      </c>
      <c r="B15" s="69"/>
      <c r="C15" s="70">
        <f t="shared" si="0"/>
        <v>357.49771031755421</v>
      </c>
      <c r="D15" s="70">
        <f t="shared" si="1"/>
        <v>788.29899879954849</v>
      </c>
      <c r="E15" s="70"/>
      <c r="F15" s="70"/>
      <c r="G15" s="70"/>
      <c r="H15" s="71">
        <f t="shared" si="2"/>
        <v>1</v>
      </c>
      <c r="I15" s="60"/>
    </row>
    <row r="16" spans="1:9" ht="12" customHeight="1">
      <c r="A16" s="66">
        <v>12</v>
      </c>
      <c r="B16" s="66"/>
      <c r="C16" s="67">
        <f t="shared" si="0"/>
        <v>358.68936935194603</v>
      </c>
      <c r="D16" s="67">
        <f t="shared" si="1"/>
        <v>787.10733976515667</v>
      </c>
      <c r="E16" s="67">
        <f>C1-SUM(C5:C16)</f>
        <v>235773.51256019506</v>
      </c>
      <c r="F16" s="67">
        <f>SUM(C5:C16)</f>
        <v>4226.4874398049369</v>
      </c>
      <c r="G16" s="67">
        <f>SUM(C5:C16)</f>
        <v>4226.4874398049369</v>
      </c>
      <c r="H16" s="68">
        <f t="shared" si="2"/>
        <v>1</v>
      </c>
      <c r="I16" s="60"/>
    </row>
    <row r="17" spans="1:9" ht="12" customHeight="1">
      <c r="A17" s="63">
        <v>13</v>
      </c>
      <c r="B17" s="63"/>
      <c r="C17" s="64">
        <f t="shared" si="0"/>
        <v>359.88500058311922</v>
      </c>
      <c r="D17" s="64">
        <f t="shared" si="1"/>
        <v>785.91170853398353</v>
      </c>
      <c r="E17" s="64"/>
      <c r="F17" s="64"/>
      <c r="G17" s="64"/>
      <c r="H17" s="65">
        <f t="shared" si="2"/>
        <v>2</v>
      </c>
      <c r="I17" s="60"/>
    </row>
    <row r="18" spans="1:9" ht="12" customHeight="1">
      <c r="A18" s="63">
        <v>14</v>
      </c>
      <c r="B18" s="63"/>
      <c r="C18" s="64">
        <f t="shared" si="0"/>
        <v>361.08461725172958</v>
      </c>
      <c r="D18" s="64">
        <f t="shared" si="1"/>
        <v>784.71209186537317</v>
      </c>
      <c r="E18" s="64"/>
      <c r="F18" s="64"/>
      <c r="G18" s="64"/>
      <c r="H18" s="65">
        <f t="shared" si="2"/>
        <v>2</v>
      </c>
      <c r="I18" s="60"/>
    </row>
    <row r="19" spans="1:9" ht="12" customHeight="1">
      <c r="A19" s="63">
        <v>15</v>
      </c>
      <c r="B19" s="63"/>
      <c r="C19" s="64">
        <f t="shared" si="0"/>
        <v>362.28823264256863</v>
      </c>
      <c r="D19" s="64">
        <f t="shared" si="1"/>
        <v>783.50847647453406</v>
      </c>
      <c r="E19" s="64"/>
      <c r="F19" s="64"/>
      <c r="G19" s="64"/>
      <c r="H19" s="65">
        <f t="shared" si="2"/>
        <v>2</v>
      </c>
      <c r="I19" s="60"/>
    </row>
    <row r="20" spans="1:9" ht="12" customHeight="1">
      <c r="A20" s="63">
        <v>16</v>
      </c>
      <c r="B20" s="63"/>
      <c r="C20" s="64">
        <f t="shared" si="0"/>
        <v>363.49586008471056</v>
      </c>
      <c r="D20" s="64">
        <f t="shared" si="1"/>
        <v>782.30084903239208</v>
      </c>
      <c r="E20" s="64"/>
      <c r="F20" s="64"/>
      <c r="G20" s="64"/>
      <c r="H20" s="65">
        <f t="shared" si="2"/>
        <v>2</v>
      </c>
      <c r="I20" s="60"/>
    </row>
    <row r="21" spans="1:9" ht="12" customHeight="1">
      <c r="A21" s="63">
        <v>17</v>
      </c>
      <c r="B21" s="63"/>
      <c r="C21" s="64">
        <f t="shared" si="0"/>
        <v>364.70751295165962</v>
      </c>
      <c r="D21" s="64">
        <f t="shared" si="1"/>
        <v>781.08919616544313</v>
      </c>
      <c r="E21" s="64"/>
      <c r="F21" s="64"/>
      <c r="G21" s="64"/>
      <c r="H21" s="65">
        <f t="shared" si="2"/>
        <v>2</v>
      </c>
      <c r="I21" s="60"/>
    </row>
    <row r="22" spans="1:9" ht="12" customHeight="1">
      <c r="A22" s="63">
        <v>18</v>
      </c>
      <c r="B22" s="63"/>
      <c r="C22" s="64">
        <f t="shared" si="0"/>
        <v>365.92320466149852</v>
      </c>
      <c r="D22" s="64">
        <f t="shared" si="1"/>
        <v>779.87350445560412</v>
      </c>
      <c r="E22" s="64"/>
      <c r="F22" s="64"/>
      <c r="G22" s="64"/>
      <c r="H22" s="65">
        <f t="shared" si="2"/>
        <v>2</v>
      </c>
      <c r="I22" s="60"/>
    </row>
    <row r="23" spans="1:9" ht="12" customHeight="1">
      <c r="A23" s="63">
        <v>19</v>
      </c>
      <c r="B23" s="63"/>
      <c r="C23" s="64">
        <f t="shared" si="0"/>
        <v>367.14294867703683</v>
      </c>
      <c r="D23" s="64">
        <f t="shared" si="1"/>
        <v>778.65376044006587</v>
      </c>
      <c r="E23" s="64"/>
      <c r="F23" s="64"/>
      <c r="G23" s="64"/>
      <c r="H23" s="65">
        <f t="shared" si="2"/>
        <v>2</v>
      </c>
      <c r="I23" s="60"/>
    </row>
    <row r="24" spans="1:9" ht="12" customHeight="1">
      <c r="A24" s="63">
        <v>20</v>
      </c>
      <c r="B24" s="63"/>
      <c r="C24" s="64">
        <f t="shared" si="0"/>
        <v>368.36675850596026</v>
      </c>
      <c r="D24" s="64">
        <f t="shared" si="1"/>
        <v>777.42995061114243</v>
      </c>
      <c r="E24" s="64"/>
      <c r="F24" s="64"/>
      <c r="G24" s="64"/>
      <c r="H24" s="65">
        <f t="shared" si="2"/>
        <v>2</v>
      </c>
      <c r="I24" s="60"/>
    </row>
    <row r="25" spans="1:9" ht="12" customHeight="1">
      <c r="A25" s="63">
        <v>21</v>
      </c>
      <c r="B25" s="63"/>
      <c r="C25" s="64">
        <f t="shared" si="0"/>
        <v>369.59464770098003</v>
      </c>
      <c r="D25" s="64">
        <f t="shared" si="1"/>
        <v>776.20206141612255</v>
      </c>
      <c r="E25" s="64"/>
      <c r="F25" s="64"/>
      <c r="G25" s="64"/>
      <c r="H25" s="65">
        <f t="shared" si="2"/>
        <v>2</v>
      </c>
      <c r="I25" s="60"/>
    </row>
    <row r="26" spans="1:9" ht="12" customHeight="1">
      <c r="A26" s="63">
        <v>22</v>
      </c>
      <c r="B26" s="63"/>
      <c r="C26" s="64">
        <f t="shared" si="0"/>
        <v>370.82662985998337</v>
      </c>
      <c r="D26" s="64">
        <f t="shared" si="1"/>
        <v>774.97007925711932</v>
      </c>
      <c r="E26" s="64"/>
      <c r="F26" s="64"/>
      <c r="G26" s="64"/>
      <c r="H26" s="65">
        <f t="shared" si="2"/>
        <v>2</v>
      </c>
      <c r="I26" s="60"/>
    </row>
    <row r="27" spans="1:9" ht="12" customHeight="1">
      <c r="A27" s="63">
        <v>23</v>
      </c>
      <c r="B27" s="63"/>
      <c r="C27" s="64">
        <f t="shared" si="0"/>
        <v>372.06271862618331</v>
      </c>
      <c r="D27" s="64">
        <f t="shared" si="1"/>
        <v>773.73399049091938</v>
      </c>
      <c r="E27" s="64"/>
      <c r="F27" s="64"/>
      <c r="G27" s="64"/>
      <c r="H27" s="65">
        <f t="shared" si="2"/>
        <v>2</v>
      </c>
      <c r="I27" s="60"/>
    </row>
    <row r="28" spans="1:9" ht="12" customHeight="1">
      <c r="A28" s="66">
        <v>24</v>
      </c>
      <c r="B28" s="66"/>
      <c r="C28" s="67">
        <f t="shared" si="0"/>
        <v>373.30292768827059</v>
      </c>
      <c r="D28" s="67">
        <f t="shared" si="1"/>
        <v>772.49378142883222</v>
      </c>
      <c r="E28" s="67">
        <f>C1-SUM(C5:C28)</f>
        <v>231374.83150096136</v>
      </c>
      <c r="F28" s="67">
        <f>SUM(C5:C28)</f>
        <v>8625.1684990386366</v>
      </c>
      <c r="G28" s="67">
        <f>SUM(C17:C28)</f>
        <v>4398.6810592336997</v>
      </c>
      <c r="H28" s="68">
        <f t="shared" si="2"/>
        <v>2</v>
      </c>
      <c r="I28" s="60"/>
    </row>
    <row r="29" spans="1:9" ht="12" customHeight="1">
      <c r="A29" s="69">
        <v>25</v>
      </c>
      <c r="B29" s="69"/>
      <c r="C29" s="70">
        <f t="shared" si="0"/>
        <v>374.54727078056482</v>
      </c>
      <c r="D29" s="70">
        <f t="shared" si="1"/>
        <v>771.24943833653776</v>
      </c>
      <c r="E29" s="70"/>
      <c r="F29" s="70"/>
      <c r="G29" s="70"/>
      <c r="H29" s="71">
        <f t="shared" si="2"/>
        <v>3</v>
      </c>
      <c r="I29" s="60"/>
    </row>
    <row r="30" spans="1:9" ht="12" customHeight="1">
      <c r="A30" s="69">
        <v>26</v>
      </c>
      <c r="B30" s="69"/>
      <c r="C30" s="70">
        <f t="shared" si="0"/>
        <v>375.79576168316669</v>
      </c>
      <c r="D30" s="70">
        <f t="shared" si="1"/>
        <v>770.00094743393595</v>
      </c>
      <c r="E30" s="70"/>
      <c r="F30" s="70"/>
      <c r="G30" s="70"/>
      <c r="H30" s="71">
        <f t="shared" si="2"/>
        <v>3</v>
      </c>
      <c r="I30" s="60"/>
    </row>
    <row r="31" spans="1:9" ht="12" customHeight="1">
      <c r="A31" s="69">
        <v>27</v>
      </c>
      <c r="B31" s="69"/>
      <c r="C31" s="70">
        <f t="shared" si="0"/>
        <v>377.04841422211064</v>
      </c>
      <c r="D31" s="70">
        <f t="shared" si="1"/>
        <v>768.74829489499211</v>
      </c>
      <c r="E31" s="70"/>
      <c r="F31" s="70"/>
      <c r="G31" s="70"/>
      <c r="H31" s="71">
        <f t="shared" si="2"/>
        <v>3</v>
      </c>
      <c r="I31" s="60"/>
    </row>
    <row r="32" spans="1:9" ht="12" customHeight="1">
      <c r="A32" s="69">
        <v>28</v>
      </c>
      <c r="B32" s="69"/>
      <c r="C32" s="70">
        <f t="shared" si="0"/>
        <v>378.30524226951769</v>
      </c>
      <c r="D32" s="70">
        <f t="shared" si="1"/>
        <v>767.491466847585</v>
      </c>
      <c r="E32" s="70"/>
      <c r="F32" s="70"/>
      <c r="G32" s="70"/>
      <c r="H32" s="71">
        <f t="shared" si="2"/>
        <v>3</v>
      </c>
      <c r="I32" s="60"/>
    </row>
    <row r="33" spans="1:9" ht="12" customHeight="1">
      <c r="A33" s="69">
        <v>29</v>
      </c>
      <c r="B33" s="69"/>
      <c r="C33" s="70">
        <f t="shared" si="0"/>
        <v>379.5662597437493</v>
      </c>
      <c r="D33" s="70">
        <f t="shared" si="1"/>
        <v>766.23044937335339</v>
      </c>
      <c r="E33" s="70"/>
      <c r="F33" s="70"/>
      <c r="G33" s="70"/>
      <c r="H33" s="71">
        <f t="shared" si="2"/>
        <v>3</v>
      </c>
      <c r="I33" s="60"/>
    </row>
    <row r="34" spans="1:9" ht="12" customHeight="1">
      <c r="A34" s="69">
        <v>30</v>
      </c>
      <c r="B34" s="69"/>
      <c r="C34" s="70">
        <f t="shared" si="0"/>
        <v>380.83148060956188</v>
      </c>
      <c r="D34" s="70">
        <f t="shared" si="1"/>
        <v>764.96522850754081</v>
      </c>
      <c r="E34" s="70"/>
      <c r="F34" s="70"/>
      <c r="G34" s="70"/>
      <c r="H34" s="71">
        <f t="shared" si="2"/>
        <v>3</v>
      </c>
      <c r="I34" s="60"/>
    </row>
    <row r="35" spans="1:9" ht="12" customHeight="1">
      <c r="A35" s="69">
        <v>31</v>
      </c>
      <c r="B35" s="69"/>
      <c r="C35" s="70">
        <f t="shared" si="0"/>
        <v>382.10091887826042</v>
      </c>
      <c r="D35" s="70">
        <f t="shared" si="1"/>
        <v>763.69579023884228</v>
      </c>
      <c r="E35" s="70"/>
      <c r="F35" s="70"/>
      <c r="G35" s="70"/>
      <c r="H35" s="71">
        <f t="shared" si="2"/>
        <v>3</v>
      </c>
      <c r="I35" s="60"/>
    </row>
    <row r="36" spans="1:9" ht="12" customHeight="1">
      <c r="A36" s="69">
        <v>32</v>
      </c>
      <c r="B36" s="69"/>
      <c r="C36" s="70">
        <f t="shared" si="0"/>
        <v>383.37458860785466</v>
      </c>
      <c r="D36" s="70">
        <f t="shared" si="1"/>
        <v>762.42212050924797</v>
      </c>
      <c r="E36" s="70"/>
      <c r="F36" s="70"/>
      <c r="G36" s="70"/>
      <c r="H36" s="71">
        <f t="shared" si="2"/>
        <v>3</v>
      </c>
      <c r="I36" s="60"/>
    </row>
    <row r="37" spans="1:9" ht="12" customHeight="1">
      <c r="A37" s="69">
        <v>33</v>
      </c>
      <c r="B37" s="69"/>
      <c r="C37" s="70">
        <f t="shared" si="0"/>
        <v>384.6525039032141</v>
      </c>
      <c r="D37" s="70">
        <f t="shared" si="1"/>
        <v>761.14420521388854</v>
      </c>
      <c r="E37" s="70"/>
      <c r="F37" s="70"/>
      <c r="G37" s="70"/>
      <c r="H37" s="71">
        <f t="shared" si="2"/>
        <v>3</v>
      </c>
      <c r="I37" s="60"/>
    </row>
    <row r="38" spans="1:9" ht="12" customHeight="1">
      <c r="A38" s="69">
        <v>34</v>
      </c>
      <c r="B38" s="69"/>
      <c r="C38" s="70">
        <f t="shared" si="0"/>
        <v>385.93467891622487</v>
      </c>
      <c r="D38" s="70">
        <f t="shared" si="1"/>
        <v>759.86203020087783</v>
      </c>
      <c r="E38" s="70"/>
      <c r="F38" s="70"/>
      <c r="G38" s="70"/>
      <c r="H38" s="71">
        <f t="shared" si="2"/>
        <v>3</v>
      </c>
      <c r="I38" s="60"/>
    </row>
    <row r="39" spans="1:9" ht="12" customHeight="1">
      <c r="A39" s="69">
        <v>35</v>
      </c>
      <c r="B39" s="69"/>
      <c r="C39" s="70">
        <f t="shared" si="0"/>
        <v>387.2211278459456</v>
      </c>
      <c r="D39" s="70">
        <f t="shared" si="1"/>
        <v>758.57558127115703</v>
      </c>
      <c r="E39" s="70"/>
      <c r="F39" s="70"/>
      <c r="G39" s="70"/>
      <c r="H39" s="71">
        <f t="shared" si="2"/>
        <v>3</v>
      </c>
      <c r="I39" s="60"/>
    </row>
    <row r="40" spans="1:9" ht="12" customHeight="1">
      <c r="A40" s="66">
        <v>36</v>
      </c>
      <c r="B40" s="66"/>
      <c r="C40" s="67">
        <f t="shared" si="0"/>
        <v>388.51186493876548</v>
      </c>
      <c r="D40" s="67">
        <f t="shared" si="1"/>
        <v>757.28484417833727</v>
      </c>
      <c r="E40" s="67">
        <f>C1-SUM(C5:C40)</f>
        <v>226796.94138856244</v>
      </c>
      <c r="F40" s="67">
        <f>SUM(C5:C40)</f>
        <v>13203.058611437575</v>
      </c>
      <c r="G40" s="67">
        <f>SUM(C29:C40)</f>
        <v>4577.8901123989363</v>
      </c>
      <c r="H40" s="68">
        <f t="shared" si="2"/>
        <v>3</v>
      </c>
      <c r="I40" s="60"/>
    </row>
    <row r="41" spans="1:9" ht="12" customHeight="1">
      <c r="A41" s="63">
        <v>37</v>
      </c>
      <c r="B41" s="63"/>
      <c r="C41" s="64">
        <f t="shared" si="0"/>
        <v>389.80690448856132</v>
      </c>
      <c r="D41" s="64">
        <f t="shared" si="1"/>
        <v>755.98980462854126</v>
      </c>
      <c r="E41" s="64"/>
      <c r="F41" s="64"/>
      <c r="G41" s="64"/>
      <c r="H41" s="65">
        <f t="shared" si="2"/>
        <v>4</v>
      </c>
      <c r="I41" s="60"/>
    </row>
    <row r="42" spans="1:9" ht="12" customHeight="1">
      <c r="A42" s="63">
        <v>38</v>
      </c>
      <c r="B42" s="63"/>
      <c r="C42" s="64">
        <f t="shared" si="0"/>
        <v>391.10626083685651</v>
      </c>
      <c r="D42" s="64">
        <f t="shared" si="1"/>
        <v>754.69044828024619</v>
      </c>
      <c r="E42" s="64"/>
      <c r="F42" s="64"/>
      <c r="G42" s="64"/>
      <c r="H42" s="65">
        <f t="shared" si="2"/>
        <v>4</v>
      </c>
      <c r="I42" s="60"/>
    </row>
    <row r="43" spans="1:9" ht="12" customHeight="1">
      <c r="A43" s="63">
        <v>39</v>
      </c>
      <c r="B43" s="63"/>
      <c r="C43" s="64">
        <f t="shared" si="0"/>
        <v>392.40994837297939</v>
      </c>
      <c r="D43" s="64">
        <f t="shared" si="1"/>
        <v>753.38676074412331</v>
      </c>
      <c r="E43" s="64"/>
      <c r="F43" s="64"/>
      <c r="G43" s="64"/>
      <c r="H43" s="65">
        <f t="shared" si="2"/>
        <v>4</v>
      </c>
      <c r="I43" s="60"/>
    </row>
    <row r="44" spans="1:9" ht="12" customHeight="1">
      <c r="A44" s="63">
        <v>40</v>
      </c>
      <c r="B44" s="63"/>
      <c r="C44" s="64">
        <f t="shared" si="0"/>
        <v>393.71798153422264</v>
      </c>
      <c r="D44" s="64">
        <f t="shared" si="1"/>
        <v>752.07872758287999</v>
      </c>
      <c r="E44" s="64"/>
      <c r="F44" s="64"/>
      <c r="G44" s="64"/>
      <c r="H44" s="65">
        <f t="shared" si="2"/>
        <v>4</v>
      </c>
      <c r="I44" s="60"/>
    </row>
    <row r="45" spans="1:9" ht="12" customHeight="1">
      <c r="A45" s="63">
        <v>41</v>
      </c>
      <c r="B45" s="63"/>
      <c r="C45" s="64">
        <f t="shared" si="0"/>
        <v>395.03037480600335</v>
      </c>
      <c r="D45" s="64">
        <f t="shared" si="1"/>
        <v>750.7663343110994</v>
      </c>
      <c r="E45" s="64"/>
      <c r="F45" s="64"/>
      <c r="G45" s="64"/>
      <c r="H45" s="65">
        <f t="shared" si="2"/>
        <v>4</v>
      </c>
      <c r="I45" s="60"/>
    </row>
    <row r="46" spans="1:9" ht="12" customHeight="1">
      <c r="A46" s="63">
        <v>42</v>
      </c>
      <c r="B46" s="63"/>
      <c r="C46" s="64">
        <f t="shared" si="0"/>
        <v>396.34714272202342</v>
      </c>
      <c r="D46" s="64">
        <f t="shared" si="1"/>
        <v>749.44956639507927</v>
      </c>
      <c r="E46" s="64"/>
      <c r="F46" s="64"/>
      <c r="G46" s="64"/>
      <c r="H46" s="65">
        <f t="shared" si="2"/>
        <v>4</v>
      </c>
      <c r="I46" s="60"/>
    </row>
    <row r="47" spans="1:9" ht="12" customHeight="1">
      <c r="A47" s="63">
        <v>43</v>
      </c>
      <c r="B47" s="63"/>
      <c r="C47" s="64">
        <f t="shared" si="0"/>
        <v>397.6682998644302</v>
      </c>
      <c r="D47" s="64">
        <f t="shared" si="1"/>
        <v>748.12840925267255</v>
      </c>
      <c r="E47" s="64"/>
      <c r="F47" s="64"/>
      <c r="G47" s="64"/>
      <c r="H47" s="65">
        <f t="shared" si="2"/>
        <v>4</v>
      </c>
      <c r="I47" s="60"/>
    </row>
    <row r="48" spans="1:9" ht="12" customHeight="1">
      <c r="A48" s="63">
        <v>44</v>
      </c>
      <c r="B48" s="63"/>
      <c r="C48" s="64">
        <f t="shared" si="0"/>
        <v>398.99386086397823</v>
      </c>
      <c r="D48" s="64">
        <f t="shared" si="1"/>
        <v>746.80284825312447</v>
      </c>
      <c r="E48" s="64"/>
      <c r="F48" s="64"/>
      <c r="G48" s="64"/>
      <c r="H48" s="65">
        <f t="shared" si="2"/>
        <v>4</v>
      </c>
      <c r="I48" s="60"/>
    </row>
    <row r="49" spans="1:10" ht="12" customHeight="1">
      <c r="A49" s="63">
        <v>45</v>
      </c>
      <c r="B49" s="63"/>
      <c r="C49" s="64">
        <f t="shared" si="0"/>
        <v>400.32384040019144</v>
      </c>
      <c r="D49" s="64">
        <f t="shared" si="1"/>
        <v>745.47286871691119</v>
      </c>
      <c r="E49" s="64"/>
      <c r="F49" s="64"/>
      <c r="G49" s="64"/>
      <c r="H49" s="65">
        <f t="shared" si="2"/>
        <v>4</v>
      </c>
      <c r="I49" s="60"/>
    </row>
    <row r="50" spans="1:10" ht="12" customHeight="1">
      <c r="A50" s="63">
        <v>46</v>
      </c>
      <c r="B50" s="63"/>
      <c r="C50" s="64">
        <f t="shared" si="0"/>
        <v>401.65825320152544</v>
      </c>
      <c r="D50" s="64">
        <f t="shared" si="1"/>
        <v>744.13845591557731</v>
      </c>
      <c r="E50" s="64"/>
      <c r="F50" s="64"/>
      <c r="G50" s="64"/>
      <c r="H50" s="65">
        <f t="shared" si="2"/>
        <v>4</v>
      </c>
      <c r="I50" s="60"/>
    </row>
    <row r="51" spans="1:10" ht="12" customHeight="1">
      <c r="A51" s="63">
        <v>47</v>
      </c>
      <c r="B51" s="63"/>
      <c r="C51" s="64">
        <f t="shared" si="0"/>
        <v>402.99711404553057</v>
      </c>
      <c r="D51" s="64">
        <f t="shared" si="1"/>
        <v>742.79959507157218</v>
      </c>
      <c r="E51" s="64"/>
      <c r="F51" s="64"/>
      <c r="G51" s="64"/>
      <c r="H51" s="65">
        <f t="shared" si="2"/>
        <v>4</v>
      </c>
      <c r="I51" s="60"/>
    </row>
    <row r="52" spans="1:10" s="82" customFormat="1" ht="12" customHeight="1">
      <c r="A52" s="66">
        <v>48</v>
      </c>
      <c r="B52" s="66"/>
      <c r="C52" s="67">
        <f t="shared" si="0"/>
        <v>404.34043775901569</v>
      </c>
      <c r="D52" s="67">
        <f t="shared" si="1"/>
        <v>741.45627135808706</v>
      </c>
      <c r="E52" s="67">
        <f>C1-SUM(C5:C52)</f>
        <v>222032.54096966711</v>
      </c>
      <c r="F52" s="67">
        <f>SUM(C5:C52)</f>
        <v>17967.459030332891</v>
      </c>
      <c r="G52" s="67">
        <f>SUM(C41:C52)</f>
        <v>4764.4004188953186</v>
      </c>
      <c r="H52" s="68">
        <f t="shared" si="2"/>
        <v>4</v>
      </c>
      <c r="I52" s="81"/>
    </row>
    <row r="53" spans="1:10" ht="12" customHeight="1">
      <c r="A53" s="69">
        <v>49</v>
      </c>
      <c r="B53" s="69"/>
      <c r="C53" s="70">
        <f t="shared" si="0"/>
        <v>405.6882392182124</v>
      </c>
      <c r="D53" s="70">
        <f t="shared" si="1"/>
        <v>740.10846989889035</v>
      </c>
      <c r="E53" s="70"/>
      <c r="F53" s="70"/>
      <c r="G53" s="70"/>
      <c r="H53" s="71">
        <f t="shared" si="2"/>
        <v>5</v>
      </c>
      <c r="I53" s="60"/>
    </row>
    <row r="54" spans="1:10" ht="12" customHeight="1">
      <c r="A54" s="69">
        <v>50</v>
      </c>
      <c r="B54" s="69"/>
      <c r="C54" s="70">
        <f t="shared" si="0"/>
        <v>407.04053334893979</v>
      </c>
      <c r="D54" s="70">
        <f t="shared" si="1"/>
        <v>738.75617576816296</v>
      </c>
      <c r="E54" s="70"/>
      <c r="F54" s="70"/>
      <c r="G54" s="70"/>
      <c r="H54" s="71">
        <f t="shared" si="2"/>
        <v>5</v>
      </c>
      <c r="I54" s="60"/>
    </row>
    <row r="55" spans="1:10" ht="12" customHeight="1">
      <c r="A55" s="69">
        <v>51</v>
      </c>
      <c r="B55" s="69"/>
      <c r="C55" s="70">
        <f t="shared" si="0"/>
        <v>408.39733512676958</v>
      </c>
      <c r="D55" s="70">
        <f t="shared" si="1"/>
        <v>737.39937399033317</v>
      </c>
      <c r="E55" s="70"/>
      <c r="F55" s="70"/>
      <c r="G55" s="70"/>
      <c r="H55" s="71">
        <f t="shared" si="2"/>
        <v>5</v>
      </c>
      <c r="I55" s="60"/>
    </row>
    <row r="56" spans="1:10" ht="12" customHeight="1">
      <c r="A56" s="69">
        <v>52</v>
      </c>
      <c r="B56" s="69"/>
      <c r="C56" s="70">
        <f t="shared" si="0"/>
        <v>409.75865957719208</v>
      </c>
      <c r="D56" s="70">
        <f t="shared" si="1"/>
        <v>736.03804953991073</v>
      </c>
      <c r="E56" s="70"/>
      <c r="F56" s="70"/>
      <c r="G56" s="70"/>
      <c r="H56" s="71">
        <f t="shared" si="2"/>
        <v>5</v>
      </c>
      <c r="I56" s="60"/>
    </row>
    <row r="57" spans="1:10" ht="12" customHeight="1">
      <c r="A57" s="69">
        <v>53</v>
      </c>
      <c r="B57" s="69"/>
      <c r="C57" s="70">
        <f t="shared" si="0"/>
        <v>411.12452177578268</v>
      </c>
      <c r="D57" s="70">
        <f t="shared" si="1"/>
        <v>734.67218734132007</v>
      </c>
      <c r="E57" s="70"/>
      <c r="F57" s="70"/>
      <c r="G57" s="70"/>
      <c r="H57" s="71">
        <f t="shared" si="2"/>
        <v>5</v>
      </c>
      <c r="I57" s="60"/>
    </row>
    <row r="58" spans="1:10" ht="12" customHeight="1">
      <c r="A58" s="69">
        <v>54</v>
      </c>
      <c r="B58" s="69"/>
      <c r="C58" s="70">
        <f t="shared" si="0"/>
        <v>412.49493684836864</v>
      </c>
      <c r="D58" s="70">
        <f t="shared" si="1"/>
        <v>733.301772268734</v>
      </c>
      <c r="E58" s="70"/>
      <c r="F58" s="70"/>
      <c r="G58" s="70"/>
      <c r="H58" s="71">
        <f t="shared" si="2"/>
        <v>5</v>
      </c>
      <c r="I58" s="60"/>
    </row>
    <row r="59" spans="1:10" ht="12" customHeight="1">
      <c r="A59" s="69">
        <v>55</v>
      </c>
      <c r="B59" s="69"/>
      <c r="C59" s="70">
        <f t="shared" si="0"/>
        <v>413.86991997119662</v>
      </c>
      <c r="D59" s="70">
        <f t="shared" si="1"/>
        <v>731.92678914590613</v>
      </c>
      <c r="E59" s="70"/>
      <c r="F59" s="70"/>
      <c r="G59" s="70"/>
      <c r="H59" s="71">
        <f t="shared" si="2"/>
        <v>5</v>
      </c>
      <c r="I59" s="60"/>
    </row>
    <row r="60" spans="1:10" ht="12" customHeight="1">
      <c r="A60" s="69">
        <v>56</v>
      </c>
      <c r="B60" s="69"/>
      <c r="C60" s="70">
        <f t="shared" si="0"/>
        <v>415.2494863711006</v>
      </c>
      <c r="D60" s="70">
        <f t="shared" si="1"/>
        <v>730.54722274600215</v>
      </c>
      <c r="E60" s="70"/>
      <c r="F60" s="70"/>
      <c r="G60" s="70"/>
      <c r="H60" s="71">
        <f t="shared" si="2"/>
        <v>5</v>
      </c>
      <c r="I60" s="60"/>
    </row>
    <row r="61" spans="1:10" ht="12" customHeight="1">
      <c r="A61" s="69">
        <v>57</v>
      </c>
      <c r="B61" s="69"/>
      <c r="C61" s="70">
        <f t="shared" si="0"/>
        <v>416.633651325671</v>
      </c>
      <c r="D61" s="70">
        <f t="shared" si="1"/>
        <v>729.16305779143181</v>
      </c>
      <c r="E61" s="70"/>
      <c r="F61" s="70"/>
      <c r="G61" s="70"/>
      <c r="H61" s="71">
        <f t="shared" si="2"/>
        <v>5</v>
      </c>
      <c r="I61" s="60"/>
      <c r="J61" s="72"/>
    </row>
    <row r="62" spans="1:10" ht="12" customHeight="1">
      <c r="A62" s="69">
        <v>58</v>
      </c>
      <c r="B62" s="69"/>
      <c r="C62" s="70">
        <f t="shared" si="0"/>
        <v>418.02243016342322</v>
      </c>
      <c r="D62" s="70">
        <f t="shared" si="1"/>
        <v>727.77427895367941</v>
      </c>
      <c r="E62" s="70"/>
      <c r="F62" s="70"/>
      <c r="G62" s="70"/>
      <c r="H62" s="71">
        <f t="shared" si="2"/>
        <v>5</v>
      </c>
      <c r="I62" s="60"/>
    </row>
    <row r="63" spans="1:10" ht="12" customHeight="1">
      <c r="A63" s="69">
        <v>59</v>
      </c>
      <c r="B63" s="69"/>
      <c r="C63" s="70">
        <f t="shared" si="0"/>
        <v>419.41583826396794</v>
      </c>
      <c r="D63" s="70">
        <f t="shared" si="1"/>
        <v>726.38087085313475</v>
      </c>
      <c r="E63" s="70"/>
      <c r="F63" s="70"/>
      <c r="G63" s="70"/>
      <c r="H63" s="71">
        <f t="shared" si="2"/>
        <v>5</v>
      </c>
      <c r="I63" s="60"/>
    </row>
    <row r="64" spans="1:10" ht="12" customHeight="1">
      <c r="A64" s="66">
        <v>60</v>
      </c>
      <c r="B64" s="66"/>
      <c r="C64" s="67">
        <f t="shared" si="0"/>
        <v>420.81389105818107</v>
      </c>
      <c r="D64" s="67">
        <f t="shared" si="1"/>
        <v>724.98281805892157</v>
      </c>
      <c r="E64" s="67">
        <f>C1-SUM(C5:C64)</f>
        <v>217074.03152661829</v>
      </c>
      <c r="F64" s="67">
        <f>SUM(C5:C64)</f>
        <v>22925.968473381698</v>
      </c>
      <c r="G64" s="67">
        <f>SUM(C53:C64)</f>
        <v>4958.5094430488061</v>
      </c>
      <c r="H64" s="68">
        <f t="shared" si="2"/>
        <v>5</v>
      </c>
      <c r="I64" s="60"/>
    </row>
    <row r="65" spans="1:9" ht="12" customHeight="1">
      <c r="A65" s="63">
        <v>61</v>
      </c>
      <c r="B65" s="63"/>
      <c r="C65" s="64">
        <f t="shared" si="0"/>
        <v>422.21660402837512</v>
      </c>
      <c r="D65" s="64">
        <f t="shared" si="1"/>
        <v>723.58010508872758</v>
      </c>
      <c r="E65" s="64"/>
      <c r="F65" s="64"/>
      <c r="G65" s="64"/>
      <c r="H65" s="65">
        <f t="shared" si="2"/>
        <v>6</v>
      </c>
      <c r="I65" s="60"/>
    </row>
    <row r="66" spans="1:9" ht="12" customHeight="1">
      <c r="A66" s="63">
        <v>62</v>
      </c>
      <c r="B66" s="63"/>
      <c r="C66" s="64">
        <f t="shared" si="0"/>
        <v>423.62399270846964</v>
      </c>
      <c r="D66" s="64">
        <f t="shared" si="1"/>
        <v>722.17271640863316</v>
      </c>
      <c r="E66" s="64"/>
      <c r="F66" s="64"/>
      <c r="G66" s="64"/>
      <c r="H66" s="65">
        <f t="shared" si="2"/>
        <v>6</v>
      </c>
      <c r="I66" s="60"/>
    </row>
    <row r="67" spans="1:9" ht="12" customHeight="1">
      <c r="A67" s="63">
        <v>63</v>
      </c>
      <c r="B67" s="63"/>
      <c r="C67" s="64">
        <f t="shared" si="0"/>
        <v>425.03607268416454</v>
      </c>
      <c r="D67" s="64">
        <f t="shared" si="1"/>
        <v>720.76063643293821</v>
      </c>
      <c r="E67" s="64"/>
      <c r="F67" s="64"/>
      <c r="G67" s="64"/>
      <c r="H67" s="65">
        <f t="shared" si="2"/>
        <v>6</v>
      </c>
      <c r="I67" s="60"/>
    </row>
    <row r="68" spans="1:9" ht="12" customHeight="1">
      <c r="A68" s="63">
        <v>64</v>
      </c>
      <c r="B68" s="63"/>
      <c r="C68" s="64">
        <f t="shared" si="0"/>
        <v>426.45285959311178</v>
      </c>
      <c r="D68" s="64">
        <f t="shared" si="1"/>
        <v>719.34384952399091</v>
      </c>
      <c r="E68" s="64"/>
      <c r="F68" s="64"/>
      <c r="G68" s="64"/>
      <c r="H68" s="65">
        <f t="shared" si="2"/>
        <v>6</v>
      </c>
      <c r="I68" s="60"/>
    </row>
    <row r="69" spans="1:9" ht="12" customHeight="1">
      <c r="A69" s="63">
        <v>65</v>
      </c>
      <c r="B69" s="63"/>
      <c r="C69" s="64">
        <f t="shared" ref="C69:C132" si="3">PPMT(C$2/12,A69,C$3,C$1*-1)</f>
        <v>427.87436912508878</v>
      </c>
      <c r="D69" s="64">
        <f t="shared" ref="D69:D132" si="4">IPMT(C$2/12,A69,C$3,C$1*-1)</f>
        <v>717.92233999201403</v>
      </c>
      <c r="E69" s="64"/>
      <c r="F69" s="64"/>
      <c r="G69" s="64"/>
      <c r="H69" s="65">
        <f t="shared" ref="H69:H132" si="5">ROUNDUP(A69/12,0)</f>
        <v>6</v>
      </c>
      <c r="I69" s="60"/>
    </row>
    <row r="70" spans="1:9" ht="12" customHeight="1">
      <c r="A70" s="63">
        <v>66</v>
      </c>
      <c r="B70" s="63"/>
      <c r="C70" s="64">
        <f t="shared" si="3"/>
        <v>429.30061702217245</v>
      </c>
      <c r="D70" s="64">
        <f t="shared" si="4"/>
        <v>716.4960920949303</v>
      </c>
      <c r="E70" s="64"/>
      <c r="F70" s="64"/>
      <c r="G70" s="64"/>
      <c r="H70" s="65">
        <f t="shared" si="5"/>
        <v>6</v>
      </c>
      <c r="I70" s="60"/>
    </row>
    <row r="71" spans="1:9" ht="12" customHeight="1">
      <c r="A71" s="63">
        <v>67</v>
      </c>
      <c r="B71" s="63"/>
      <c r="C71" s="64">
        <f t="shared" si="3"/>
        <v>430.73161907891307</v>
      </c>
      <c r="D71" s="64">
        <f t="shared" si="4"/>
        <v>715.06509003818974</v>
      </c>
      <c r="E71" s="64"/>
      <c r="F71" s="64"/>
      <c r="G71" s="64"/>
      <c r="H71" s="65">
        <f t="shared" si="5"/>
        <v>6</v>
      </c>
      <c r="I71" s="60"/>
    </row>
    <row r="72" spans="1:9" ht="12" customHeight="1">
      <c r="A72" s="63">
        <v>68</v>
      </c>
      <c r="B72" s="63"/>
      <c r="C72" s="64">
        <f t="shared" si="3"/>
        <v>432.16739114250936</v>
      </c>
      <c r="D72" s="64">
        <f t="shared" si="4"/>
        <v>713.62931797459339</v>
      </c>
      <c r="E72" s="64"/>
      <c r="F72" s="64"/>
      <c r="G72" s="64"/>
      <c r="H72" s="65">
        <f t="shared" si="5"/>
        <v>6</v>
      </c>
      <c r="I72" s="60"/>
    </row>
    <row r="73" spans="1:9" ht="12" customHeight="1">
      <c r="A73" s="63">
        <v>69</v>
      </c>
      <c r="B73" s="63"/>
      <c r="C73" s="64">
        <f t="shared" si="3"/>
        <v>433.60794911298444</v>
      </c>
      <c r="D73" s="64">
        <f t="shared" si="4"/>
        <v>712.18876000411819</v>
      </c>
      <c r="E73" s="64"/>
      <c r="F73" s="64"/>
      <c r="G73" s="64"/>
      <c r="H73" s="65">
        <f t="shared" si="5"/>
        <v>6</v>
      </c>
      <c r="I73" s="60"/>
    </row>
    <row r="74" spans="1:9" ht="12" customHeight="1">
      <c r="A74" s="63">
        <v>70</v>
      </c>
      <c r="B74" s="63"/>
      <c r="C74" s="64">
        <f t="shared" si="3"/>
        <v>435.053308943361</v>
      </c>
      <c r="D74" s="64">
        <f t="shared" si="4"/>
        <v>710.74340017374163</v>
      </c>
      <c r="E74" s="64"/>
      <c r="F74" s="64"/>
      <c r="G74" s="64"/>
      <c r="H74" s="65">
        <f t="shared" si="5"/>
        <v>6</v>
      </c>
      <c r="I74" s="60"/>
    </row>
    <row r="75" spans="1:9" ht="12" customHeight="1">
      <c r="A75" s="63">
        <v>71</v>
      </c>
      <c r="B75" s="63"/>
      <c r="C75" s="64">
        <f t="shared" si="3"/>
        <v>436.50348663983891</v>
      </c>
      <c r="D75" s="64">
        <f t="shared" si="4"/>
        <v>709.29322247726384</v>
      </c>
      <c r="E75" s="64"/>
      <c r="F75" s="64"/>
      <c r="G75" s="64"/>
      <c r="H75" s="65">
        <f t="shared" si="5"/>
        <v>6</v>
      </c>
      <c r="I75" s="60"/>
    </row>
    <row r="76" spans="1:9" s="82" customFormat="1" ht="12" customHeight="1">
      <c r="A76" s="66">
        <v>72</v>
      </c>
      <c r="B76" s="66"/>
      <c r="C76" s="67">
        <f t="shared" si="3"/>
        <v>437.95849826197173</v>
      </c>
      <c r="D76" s="67">
        <f t="shared" si="4"/>
        <v>707.83821085513114</v>
      </c>
      <c r="E76" s="67">
        <f>C1-SUM(C4:C76)</f>
        <v>211913.50475827735</v>
      </c>
      <c r="F76" s="67">
        <f>SUM(C5:C76)</f>
        <v>28086.495241722656</v>
      </c>
      <c r="G76" s="67">
        <f>SUM(C65:C76)</f>
        <v>5160.5267683409602</v>
      </c>
      <c r="H76" s="68">
        <f t="shared" si="5"/>
        <v>6</v>
      </c>
      <c r="I76" s="81"/>
    </row>
    <row r="77" spans="1:9" ht="12" customHeight="1">
      <c r="A77" s="69">
        <v>73</v>
      </c>
      <c r="B77" s="69"/>
      <c r="C77" s="70">
        <f t="shared" si="3"/>
        <v>439.4183599228449</v>
      </c>
      <c r="D77" s="70">
        <f t="shared" si="4"/>
        <v>706.37834919425779</v>
      </c>
      <c r="E77" s="70"/>
      <c r="F77" s="70"/>
      <c r="G77" s="70"/>
      <c r="H77" s="71">
        <f t="shared" si="5"/>
        <v>7</v>
      </c>
      <c r="I77" s="60"/>
    </row>
    <row r="78" spans="1:9" ht="12" customHeight="1">
      <c r="A78" s="69">
        <v>74</v>
      </c>
      <c r="B78" s="69"/>
      <c r="C78" s="70">
        <f t="shared" si="3"/>
        <v>440.88308778925443</v>
      </c>
      <c r="D78" s="70">
        <f t="shared" si="4"/>
        <v>704.91362132784832</v>
      </c>
      <c r="E78" s="70"/>
      <c r="F78" s="70"/>
      <c r="G78" s="70"/>
      <c r="H78" s="71">
        <f t="shared" si="5"/>
        <v>7</v>
      </c>
      <c r="I78" s="60"/>
    </row>
    <row r="79" spans="1:9" ht="12" customHeight="1">
      <c r="A79" s="69">
        <v>75</v>
      </c>
      <c r="B79" s="69"/>
      <c r="C79" s="70">
        <f t="shared" si="3"/>
        <v>442.35269808188531</v>
      </c>
      <c r="D79" s="70">
        <f t="shared" si="4"/>
        <v>703.4440110352175</v>
      </c>
      <c r="E79" s="70"/>
      <c r="F79" s="70"/>
      <c r="G79" s="70"/>
      <c r="H79" s="71">
        <f t="shared" si="5"/>
        <v>7</v>
      </c>
      <c r="I79" s="60"/>
    </row>
    <row r="80" spans="1:9" ht="12" customHeight="1">
      <c r="A80" s="69">
        <v>76</v>
      </c>
      <c r="B80" s="69"/>
      <c r="C80" s="70">
        <f t="shared" si="3"/>
        <v>443.82720707549151</v>
      </c>
      <c r="D80" s="70">
        <f t="shared" si="4"/>
        <v>701.96950204161124</v>
      </c>
      <c r="E80" s="70"/>
      <c r="F80" s="70"/>
      <c r="G80" s="70"/>
      <c r="H80" s="71">
        <f t="shared" si="5"/>
        <v>7</v>
      </c>
      <c r="I80" s="60"/>
    </row>
    <row r="81" spans="1:9" ht="12" customHeight="1">
      <c r="A81" s="69">
        <v>77</v>
      </c>
      <c r="B81" s="69"/>
      <c r="C81" s="70">
        <f t="shared" si="3"/>
        <v>445.30663109907653</v>
      </c>
      <c r="D81" s="70">
        <f t="shared" si="4"/>
        <v>700.49007801802622</v>
      </c>
      <c r="E81" s="70"/>
      <c r="F81" s="70"/>
      <c r="G81" s="70"/>
      <c r="H81" s="71">
        <f t="shared" si="5"/>
        <v>7</v>
      </c>
      <c r="I81" s="60"/>
    </row>
    <row r="82" spans="1:9" ht="12" customHeight="1">
      <c r="A82" s="69">
        <v>78</v>
      </c>
      <c r="B82" s="69"/>
      <c r="C82" s="70">
        <f t="shared" si="3"/>
        <v>446.79098653607343</v>
      </c>
      <c r="D82" s="70">
        <f t="shared" si="4"/>
        <v>699.0057225810292</v>
      </c>
      <c r="E82" s="70"/>
      <c r="F82" s="70"/>
      <c r="G82" s="70"/>
      <c r="H82" s="71">
        <f t="shared" si="5"/>
        <v>7</v>
      </c>
      <c r="I82" s="60"/>
    </row>
    <row r="83" spans="1:9" ht="12" customHeight="1">
      <c r="A83" s="69">
        <v>79</v>
      </c>
      <c r="B83" s="69"/>
      <c r="C83" s="70">
        <f t="shared" si="3"/>
        <v>448.28028982452702</v>
      </c>
      <c r="D83" s="70">
        <f t="shared" si="4"/>
        <v>697.51641929257573</v>
      </c>
      <c r="E83" s="70"/>
      <c r="F83" s="70"/>
      <c r="G83" s="70"/>
      <c r="H83" s="71">
        <f t="shared" si="5"/>
        <v>7</v>
      </c>
      <c r="I83" s="60"/>
    </row>
    <row r="84" spans="1:9" ht="12" customHeight="1">
      <c r="A84" s="69">
        <v>80</v>
      </c>
      <c r="B84" s="69"/>
      <c r="C84" s="70">
        <f t="shared" si="3"/>
        <v>449.77455745727542</v>
      </c>
      <c r="D84" s="70">
        <f t="shared" si="4"/>
        <v>696.02215165982716</v>
      </c>
      <c r="E84" s="70"/>
      <c r="F84" s="70"/>
      <c r="G84" s="70"/>
      <c r="H84" s="71">
        <f t="shared" si="5"/>
        <v>7</v>
      </c>
      <c r="I84" s="60"/>
    </row>
    <row r="85" spans="1:9" ht="12" customHeight="1">
      <c r="A85" s="69">
        <v>81</v>
      </c>
      <c r="B85" s="69"/>
      <c r="C85" s="70">
        <f t="shared" si="3"/>
        <v>451.27380598213301</v>
      </c>
      <c r="D85" s="70">
        <f t="shared" si="4"/>
        <v>694.52290313496985</v>
      </c>
      <c r="E85" s="70"/>
      <c r="F85" s="70"/>
      <c r="G85" s="70"/>
      <c r="H85" s="71">
        <f t="shared" si="5"/>
        <v>7</v>
      </c>
      <c r="I85" s="60"/>
    </row>
    <row r="86" spans="1:9" ht="12" customHeight="1">
      <c r="A86" s="69">
        <v>82</v>
      </c>
      <c r="B86" s="69"/>
      <c r="C86" s="70">
        <f t="shared" si="3"/>
        <v>452.77805200207348</v>
      </c>
      <c r="D86" s="70">
        <f t="shared" si="4"/>
        <v>693.01865711502921</v>
      </c>
      <c r="E86" s="70"/>
      <c r="F86" s="70"/>
      <c r="G86" s="70"/>
      <c r="H86" s="71">
        <f t="shared" si="5"/>
        <v>7</v>
      </c>
      <c r="I86" s="60"/>
    </row>
    <row r="87" spans="1:9" ht="12" customHeight="1">
      <c r="A87" s="69">
        <v>83</v>
      </c>
      <c r="B87" s="69"/>
      <c r="C87" s="70">
        <f t="shared" si="3"/>
        <v>454.28731217541377</v>
      </c>
      <c r="D87" s="70">
        <f t="shared" si="4"/>
        <v>691.50939694168892</v>
      </c>
      <c r="E87" s="70"/>
      <c r="F87" s="70"/>
      <c r="G87" s="70"/>
      <c r="H87" s="71">
        <f t="shared" si="5"/>
        <v>7</v>
      </c>
      <c r="I87" s="60"/>
    </row>
    <row r="88" spans="1:9" s="82" customFormat="1" ht="12" customHeight="1">
      <c r="A88" s="66">
        <v>84</v>
      </c>
      <c r="B88" s="66"/>
      <c r="C88" s="67">
        <f t="shared" si="3"/>
        <v>455.80160321599834</v>
      </c>
      <c r="D88" s="67">
        <f t="shared" si="4"/>
        <v>689.99510590110435</v>
      </c>
      <c r="E88" s="67">
        <f>C1-SUM(C4:C88)</f>
        <v>206542.73016711528</v>
      </c>
      <c r="F88" s="67">
        <f>SUM(C5:C88)</f>
        <v>33457.269832884711</v>
      </c>
      <c r="G88" s="67">
        <f>SUM(C77:C88)</f>
        <v>5370.7745911620477</v>
      </c>
      <c r="H88" s="68">
        <f t="shared" si="5"/>
        <v>7</v>
      </c>
      <c r="I88" s="81"/>
    </row>
    <row r="89" spans="1:9" ht="12" customHeight="1">
      <c r="A89" s="63">
        <v>85</v>
      </c>
      <c r="B89" s="63"/>
      <c r="C89" s="64">
        <f t="shared" si="3"/>
        <v>457.32094189338505</v>
      </c>
      <c r="D89" s="64">
        <f t="shared" si="4"/>
        <v>688.47576722371764</v>
      </c>
      <c r="E89" s="64"/>
      <c r="F89" s="64"/>
      <c r="G89" s="64"/>
      <c r="H89" s="65">
        <f t="shared" si="5"/>
        <v>8</v>
      </c>
      <c r="I89" s="60"/>
    </row>
    <row r="90" spans="1:9" ht="12" customHeight="1">
      <c r="A90" s="63">
        <v>86</v>
      </c>
      <c r="B90" s="63"/>
      <c r="C90" s="64">
        <f t="shared" si="3"/>
        <v>458.84534503302967</v>
      </c>
      <c r="D90" s="64">
        <f t="shared" si="4"/>
        <v>686.95136408407302</v>
      </c>
      <c r="E90" s="64"/>
      <c r="F90" s="64"/>
      <c r="G90" s="64"/>
      <c r="H90" s="65">
        <f t="shared" si="5"/>
        <v>8</v>
      </c>
      <c r="I90" s="60"/>
    </row>
    <row r="91" spans="1:9" ht="12" customHeight="1">
      <c r="A91" s="63">
        <v>87</v>
      </c>
      <c r="B91" s="63"/>
      <c r="C91" s="64">
        <f t="shared" si="3"/>
        <v>460.37482951647314</v>
      </c>
      <c r="D91" s="64">
        <f t="shared" si="4"/>
        <v>685.42187960062961</v>
      </c>
      <c r="E91" s="64"/>
      <c r="F91" s="64"/>
      <c r="G91" s="64"/>
      <c r="H91" s="65">
        <f t="shared" si="5"/>
        <v>8</v>
      </c>
      <c r="I91" s="60"/>
    </row>
    <row r="92" spans="1:9" ht="12" customHeight="1">
      <c r="A92" s="63">
        <v>88</v>
      </c>
      <c r="B92" s="63"/>
      <c r="C92" s="64">
        <f t="shared" si="3"/>
        <v>461.90941228152798</v>
      </c>
      <c r="D92" s="64">
        <f t="shared" si="4"/>
        <v>683.8872968355746</v>
      </c>
      <c r="E92" s="64"/>
      <c r="F92" s="64"/>
      <c r="G92" s="64"/>
      <c r="H92" s="65">
        <f t="shared" si="5"/>
        <v>8</v>
      </c>
      <c r="I92" s="60"/>
    </row>
    <row r="93" spans="1:9" ht="12" customHeight="1">
      <c r="A93" s="63">
        <v>89</v>
      </c>
      <c r="B93" s="63"/>
      <c r="C93" s="64">
        <f t="shared" si="3"/>
        <v>463.44911032246654</v>
      </c>
      <c r="D93" s="64">
        <f t="shared" si="4"/>
        <v>682.34759879463616</v>
      </c>
      <c r="E93" s="64"/>
      <c r="F93" s="64"/>
      <c r="G93" s="64"/>
      <c r="H93" s="65">
        <f t="shared" si="5"/>
        <v>8</v>
      </c>
      <c r="I93" s="60"/>
    </row>
    <row r="94" spans="1:9" ht="12" customHeight="1">
      <c r="A94" s="63">
        <v>90</v>
      </c>
      <c r="B94" s="63"/>
      <c r="C94" s="64">
        <f t="shared" si="3"/>
        <v>464.99394069020803</v>
      </c>
      <c r="D94" s="64">
        <f t="shared" si="4"/>
        <v>680.80276842689477</v>
      </c>
      <c r="E94" s="64"/>
      <c r="F94" s="64"/>
      <c r="G94" s="64"/>
      <c r="H94" s="65">
        <f t="shared" si="5"/>
        <v>8</v>
      </c>
      <c r="I94" s="60"/>
    </row>
    <row r="95" spans="1:9" ht="12" customHeight="1">
      <c r="A95" s="63">
        <v>91</v>
      </c>
      <c r="B95" s="63"/>
      <c r="C95" s="64">
        <f t="shared" si="3"/>
        <v>466.54392049250873</v>
      </c>
      <c r="D95" s="64">
        <f t="shared" si="4"/>
        <v>679.2527886245939</v>
      </c>
      <c r="E95" s="64"/>
      <c r="F95" s="64"/>
      <c r="G95" s="64"/>
      <c r="H95" s="65">
        <f t="shared" si="5"/>
        <v>8</v>
      </c>
      <c r="I95" s="60"/>
    </row>
    <row r="96" spans="1:9" ht="12" customHeight="1">
      <c r="A96" s="63">
        <v>92</v>
      </c>
      <c r="B96" s="63"/>
      <c r="C96" s="64">
        <f t="shared" si="3"/>
        <v>468.09906689415038</v>
      </c>
      <c r="D96" s="64">
        <f t="shared" si="4"/>
        <v>677.69764222295237</v>
      </c>
      <c r="E96" s="64"/>
      <c r="F96" s="64"/>
      <c r="G96" s="64"/>
      <c r="H96" s="65">
        <f t="shared" si="5"/>
        <v>8</v>
      </c>
      <c r="I96" s="60"/>
    </row>
    <row r="97" spans="1:9" ht="12" customHeight="1">
      <c r="A97" s="63">
        <v>93</v>
      </c>
      <c r="B97" s="63"/>
      <c r="C97" s="64">
        <f t="shared" si="3"/>
        <v>469.65939711713088</v>
      </c>
      <c r="D97" s="64">
        <f t="shared" si="4"/>
        <v>676.13731199997176</v>
      </c>
      <c r="E97" s="64"/>
      <c r="F97" s="64"/>
      <c r="G97" s="64"/>
      <c r="H97" s="65">
        <f t="shared" si="5"/>
        <v>8</v>
      </c>
      <c r="I97" s="60"/>
    </row>
    <row r="98" spans="1:9" ht="12" customHeight="1">
      <c r="A98" s="63">
        <v>94</v>
      </c>
      <c r="B98" s="63"/>
      <c r="C98" s="64">
        <f t="shared" si="3"/>
        <v>471.22492844085463</v>
      </c>
      <c r="D98" s="64">
        <f t="shared" si="4"/>
        <v>674.57178067624784</v>
      </c>
      <c r="E98" s="64"/>
      <c r="F98" s="64"/>
      <c r="G98" s="64"/>
      <c r="H98" s="65">
        <f t="shared" si="5"/>
        <v>8</v>
      </c>
      <c r="I98" s="60"/>
    </row>
    <row r="99" spans="1:9" ht="12" customHeight="1">
      <c r="A99" s="63">
        <v>95</v>
      </c>
      <c r="B99" s="63"/>
      <c r="C99" s="64">
        <f t="shared" si="3"/>
        <v>472.79567820232421</v>
      </c>
      <c r="D99" s="64">
        <f t="shared" si="4"/>
        <v>673.00103091477843</v>
      </c>
      <c r="E99" s="64"/>
      <c r="F99" s="64"/>
      <c r="G99" s="64"/>
      <c r="H99" s="65">
        <f t="shared" si="5"/>
        <v>8</v>
      </c>
      <c r="I99" s="60"/>
    </row>
    <row r="100" spans="1:9" s="82" customFormat="1" ht="12" customHeight="1">
      <c r="A100" s="66">
        <v>96</v>
      </c>
      <c r="B100" s="66"/>
      <c r="C100" s="67">
        <f t="shared" si="3"/>
        <v>474.37166379633186</v>
      </c>
      <c r="D100" s="67">
        <f t="shared" si="4"/>
        <v>671.42504532077066</v>
      </c>
      <c r="E100" s="67">
        <f>C1-SUM(C4:C100)</f>
        <v>200953.14193243493</v>
      </c>
      <c r="F100" s="67">
        <f>SUM(C5:C100)</f>
        <v>39046.858067565088</v>
      </c>
      <c r="G100" s="67">
        <f>SUM(C89:C100)</f>
        <v>5589.5882346803901</v>
      </c>
      <c r="H100" s="68">
        <f t="shared" si="5"/>
        <v>8</v>
      </c>
      <c r="I100" s="81"/>
    </row>
    <row r="101" spans="1:9" ht="12" customHeight="1">
      <c r="A101" s="69">
        <v>97</v>
      </c>
      <c r="B101" s="69"/>
      <c r="C101" s="70">
        <f t="shared" si="3"/>
        <v>475.95290267565298</v>
      </c>
      <c r="D101" s="70">
        <f t="shared" si="4"/>
        <v>669.84380644144949</v>
      </c>
      <c r="E101" s="70"/>
      <c r="F101" s="70"/>
      <c r="G101" s="70"/>
      <c r="H101" s="71">
        <f t="shared" si="5"/>
        <v>9</v>
      </c>
      <c r="I101" s="60"/>
    </row>
    <row r="102" spans="1:9" ht="12" customHeight="1">
      <c r="A102" s="69">
        <v>98</v>
      </c>
      <c r="B102" s="69"/>
      <c r="C102" s="70">
        <f t="shared" si="3"/>
        <v>477.53941235123852</v>
      </c>
      <c r="D102" s="70">
        <f t="shared" si="4"/>
        <v>668.25729676586411</v>
      </c>
      <c r="E102" s="70"/>
      <c r="F102" s="70"/>
      <c r="G102" s="70"/>
      <c r="H102" s="71">
        <f t="shared" si="5"/>
        <v>9</v>
      </c>
      <c r="I102" s="60"/>
    </row>
    <row r="103" spans="1:9" ht="12" customHeight="1">
      <c r="A103" s="69">
        <v>99</v>
      </c>
      <c r="B103" s="69"/>
      <c r="C103" s="70">
        <f t="shared" si="3"/>
        <v>479.13121039240946</v>
      </c>
      <c r="D103" s="70">
        <f t="shared" si="4"/>
        <v>666.66549872469341</v>
      </c>
      <c r="E103" s="70"/>
      <c r="F103" s="70"/>
      <c r="G103" s="70"/>
      <c r="H103" s="71">
        <f t="shared" si="5"/>
        <v>9</v>
      </c>
      <c r="I103" s="60"/>
    </row>
    <row r="104" spans="1:9" ht="12" customHeight="1">
      <c r="A104" s="69">
        <v>100</v>
      </c>
      <c r="B104" s="69"/>
      <c r="C104" s="70">
        <f t="shared" si="3"/>
        <v>480.72831442705075</v>
      </c>
      <c r="D104" s="70">
        <f t="shared" si="4"/>
        <v>665.06839469005195</v>
      </c>
      <c r="E104" s="70"/>
      <c r="F104" s="70"/>
      <c r="G104" s="70"/>
      <c r="H104" s="71">
        <f t="shared" si="5"/>
        <v>9</v>
      </c>
      <c r="I104" s="60"/>
    </row>
    <row r="105" spans="1:9" ht="12" customHeight="1">
      <c r="A105" s="69">
        <v>101</v>
      </c>
      <c r="B105" s="69"/>
      <c r="C105" s="70">
        <f t="shared" si="3"/>
        <v>482.33074214180749</v>
      </c>
      <c r="D105" s="70">
        <f t="shared" si="4"/>
        <v>663.46596697529515</v>
      </c>
      <c r="E105" s="70"/>
      <c r="F105" s="70"/>
      <c r="G105" s="70"/>
      <c r="H105" s="71">
        <f t="shared" si="5"/>
        <v>9</v>
      </c>
      <c r="I105" s="60"/>
    </row>
    <row r="106" spans="1:9" ht="12" customHeight="1">
      <c r="A106" s="69">
        <v>102</v>
      </c>
      <c r="B106" s="69"/>
      <c r="C106" s="70">
        <f t="shared" si="3"/>
        <v>483.93851128228022</v>
      </c>
      <c r="D106" s="70">
        <f t="shared" si="4"/>
        <v>661.85819783482236</v>
      </c>
      <c r="E106" s="70"/>
      <c r="F106" s="70"/>
      <c r="G106" s="70"/>
      <c r="H106" s="71">
        <f t="shared" si="5"/>
        <v>9</v>
      </c>
      <c r="I106" s="60"/>
    </row>
    <row r="107" spans="1:9" ht="12" customHeight="1">
      <c r="A107" s="69">
        <v>103</v>
      </c>
      <c r="B107" s="69"/>
      <c r="C107" s="70">
        <f t="shared" si="3"/>
        <v>485.55163965322129</v>
      </c>
      <c r="D107" s="70">
        <f t="shared" si="4"/>
        <v>660.24506946388146</v>
      </c>
      <c r="E107" s="70"/>
      <c r="F107" s="70"/>
      <c r="G107" s="70"/>
      <c r="H107" s="71">
        <f t="shared" si="5"/>
        <v>9</v>
      </c>
      <c r="I107" s="60"/>
    </row>
    <row r="108" spans="1:9" ht="12" customHeight="1">
      <c r="A108" s="69">
        <v>104</v>
      </c>
      <c r="B108" s="69"/>
      <c r="C108" s="70">
        <f t="shared" si="3"/>
        <v>487.17014511873191</v>
      </c>
      <c r="D108" s="70">
        <f t="shared" si="4"/>
        <v>658.62656399837078</v>
      </c>
      <c r="E108" s="70"/>
      <c r="F108" s="70"/>
      <c r="G108" s="70"/>
      <c r="H108" s="71">
        <f t="shared" si="5"/>
        <v>9</v>
      </c>
      <c r="I108" s="60"/>
    </row>
    <row r="109" spans="1:9" ht="12" customHeight="1">
      <c r="A109" s="69">
        <v>105</v>
      </c>
      <c r="B109" s="69"/>
      <c r="C109" s="70">
        <f t="shared" si="3"/>
        <v>488.79404560246098</v>
      </c>
      <c r="D109" s="70">
        <f t="shared" si="4"/>
        <v>657.00266351464165</v>
      </c>
      <c r="E109" s="70"/>
      <c r="F109" s="70"/>
      <c r="G109" s="70"/>
      <c r="H109" s="71">
        <f t="shared" si="5"/>
        <v>9</v>
      </c>
      <c r="I109" s="60"/>
    </row>
    <row r="110" spans="1:9" ht="12" customHeight="1">
      <c r="A110" s="69">
        <v>106</v>
      </c>
      <c r="B110" s="69"/>
      <c r="C110" s="70">
        <f t="shared" si="3"/>
        <v>490.42335908780257</v>
      </c>
      <c r="D110" s="70">
        <f t="shared" si="4"/>
        <v>655.3733500292999</v>
      </c>
      <c r="E110" s="70"/>
      <c r="F110" s="70"/>
      <c r="G110" s="70"/>
      <c r="H110" s="71">
        <f t="shared" si="5"/>
        <v>9</v>
      </c>
      <c r="I110" s="60"/>
    </row>
    <row r="111" spans="1:9" ht="12" customHeight="1">
      <c r="A111" s="69">
        <v>107</v>
      </c>
      <c r="B111" s="69"/>
      <c r="C111" s="70">
        <f t="shared" si="3"/>
        <v>492.05810361809529</v>
      </c>
      <c r="D111" s="70">
        <f t="shared" si="4"/>
        <v>653.73860549900746</v>
      </c>
      <c r="E111" s="70"/>
      <c r="F111" s="70"/>
      <c r="G111" s="70"/>
      <c r="H111" s="71">
        <f t="shared" si="5"/>
        <v>9</v>
      </c>
      <c r="I111" s="60"/>
    </row>
    <row r="112" spans="1:9" s="82" customFormat="1" ht="12" customHeight="1">
      <c r="A112" s="66">
        <v>108</v>
      </c>
      <c r="B112" s="66"/>
      <c r="C112" s="67">
        <f t="shared" si="3"/>
        <v>493.69829729682226</v>
      </c>
      <c r="D112" s="67">
        <f t="shared" si="4"/>
        <v>652.09841182028049</v>
      </c>
      <c r="E112" s="67">
        <f>C1-SUM(C4:C112)</f>
        <v>195135.82524878735</v>
      </c>
      <c r="F112" s="67">
        <f>SUM(C5:C112)</f>
        <v>44864.174751212646</v>
      </c>
      <c r="G112" s="67">
        <f>SUM(C101:C112)</f>
        <v>5817.3166836475748</v>
      </c>
      <c r="H112" s="68">
        <f t="shared" si="5"/>
        <v>9</v>
      </c>
      <c r="I112" s="81"/>
    </row>
    <row r="113" spans="1:9" ht="12" customHeight="1">
      <c r="A113" s="63">
        <v>109</v>
      </c>
      <c r="B113" s="63"/>
      <c r="C113" s="64">
        <f t="shared" si="3"/>
        <v>495.34395828781169</v>
      </c>
      <c r="D113" s="64">
        <f t="shared" si="4"/>
        <v>650.45275082929106</v>
      </c>
      <c r="E113" s="64"/>
      <c r="F113" s="64"/>
      <c r="G113" s="64"/>
      <c r="H113" s="65">
        <f t="shared" si="5"/>
        <v>10</v>
      </c>
      <c r="I113" s="60"/>
    </row>
    <row r="114" spans="1:9" ht="12" customHeight="1">
      <c r="A114" s="63">
        <v>110</v>
      </c>
      <c r="B114" s="63"/>
      <c r="C114" s="64">
        <f t="shared" si="3"/>
        <v>496.99510481543774</v>
      </c>
      <c r="D114" s="64">
        <f t="shared" si="4"/>
        <v>648.80160430166495</v>
      </c>
      <c r="E114" s="64"/>
      <c r="F114" s="64"/>
      <c r="G114" s="64"/>
      <c r="H114" s="65">
        <f t="shared" si="5"/>
        <v>10</v>
      </c>
      <c r="I114" s="60"/>
    </row>
    <row r="115" spans="1:9" ht="12" customHeight="1">
      <c r="A115" s="63">
        <v>111</v>
      </c>
      <c r="B115" s="63"/>
      <c r="C115" s="64">
        <f t="shared" si="3"/>
        <v>498.65175516482242</v>
      </c>
      <c r="D115" s="64">
        <f t="shared" si="4"/>
        <v>647.14495395228016</v>
      </c>
      <c r="E115" s="64"/>
      <c r="F115" s="64"/>
      <c r="G115" s="64"/>
      <c r="H115" s="65">
        <f t="shared" si="5"/>
        <v>10</v>
      </c>
      <c r="I115" s="60"/>
    </row>
    <row r="116" spans="1:9" ht="12" customHeight="1">
      <c r="A116" s="63">
        <v>112</v>
      </c>
      <c r="B116" s="63"/>
      <c r="C116" s="64">
        <f t="shared" si="3"/>
        <v>500.31392768203847</v>
      </c>
      <c r="D116" s="64">
        <f t="shared" si="4"/>
        <v>645.482781435064</v>
      </c>
      <c r="E116" s="64"/>
      <c r="F116" s="64"/>
      <c r="G116" s="64"/>
      <c r="H116" s="65">
        <f t="shared" si="5"/>
        <v>10</v>
      </c>
      <c r="I116" s="60"/>
    </row>
    <row r="117" spans="1:9" ht="12" customHeight="1">
      <c r="A117" s="63">
        <v>113</v>
      </c>
      <c r="B117" s="63"/>
      <c r="C117" s="64">
        <f t="shared" si="3"/>
        <v>501.98164077431198</v>
      </c>
      <c r="D117" s="64">
        <f t="shared" si="4"/>
        <v>643.81506834279071</v>
      </c>
      <c r="E117" s="64"/>
      <c r="F117" s="64"/>
      <c r="G117" s="64"/>
      <c r="H117" s="65">
        <f t="shared" si="5"/>
        <v>10</v>
      </c>
      <c r="I117" s="60"/>
    </row>
    <row r="118" spans="1:9" ht="12" customHeight="1">
      <c r="A118" s="63">
        <v>114</v>
      </c>
      <c r="B118" s="63"/>
      <c r="C118" s="64">
        <f t="shared" si="3"/>
        <v>503.65491291022641</v>
      </c>
      <c r="D118" s="64">
        <f t="shared" si="4"/>
        <v>642.14179620687628</v>
      </c>
      <c r="E118" s="64"/>
      <c r="F118" s="64"/>
      <c r="G118" s="64"/>
      <c r="H118" s="65">
        <f t="shared" si="5"/>
        <v>10</v>
      </c>
      <c r="I118" s="60"/>
    </row>
    <row r="119" spans="1:9" ht="12" customHeight="1">
      <c r="A119" s="63">
        <v>115</v>
      </c>
      <c r="B119" s="63"/>
      <c r="C119" s="64">
        <f t="shared" si="3"/>
        <v>505.33376261992714</v>
      </c>
      <c r="D119" s="64">
        <f t="shared" si="4"/>
        <v>640.46294649717561</v>
      </c>
      <c r="E119" s="64"/>
      <c r="F119" s="64"/>
      <c r="G119" s="64"/>
      <c r="H119" s="65">
        <f t="shared" si="5"/>
        <v>10</v>
      </c>
      <c r="I119" s="60"/>
    </row>
    <row r="120" spans="1:9" ht="12" customHeight="1">
      <c r="A120" s="63">
        <v>116</v>
      </c>
      <c r="B120" s="63"/>
      <c r="C120" s="64">
        <f t="shared" si="3"/>
        <v>507.01820849532692</v>
      </c>
      <c r="D120" s="64">
        <f t="shared" si="4"/>
        <v>638.77850062177583</v>
      </c>
      <c r="E120" s="64"/>
      <c r="F120" s="64"/>
      <c r="G120" s="64"/>
      <c r="H120" s="65">
        <f t="shared" si="5"/>
        <v>10</v>
      </c>
      <c r="I120" s="60"/>
    </row>
    <row r="121" spans="1:9" ht="12" customHeight="1">
      <c r="A121" s="63">
        <v>117</v>
      </c>
      <c r="B121" s="63"/>
      <c r="C121" s="64">
        <f t="shared" si="3"/>
        <v>508.70826919031128</v>
      </c>
      <c r="D121" s="64">
        <f t="shared" si="4"/>
        <v>637.08843992679147</v>
      </c>
      <c r="E121" s="64"/>
      <c r="F121" s="64"/>
      <c r="G121" s="64"/>
      <c r="H121" s="65">
        <f t="shared" si="5"/>
        <v>10</v>
      </c>
      <c r="I121" s="60"/>
    </row>
    <row r="122" spans="1:9" ht="12" customHeight="1">
      <c r="A122" s="63">
        <v>118</v>
      </c>
      <c r="B122" s="63"/>
      <c r="C122" s="64">
        <f t="shared" si="3"/>
        <v>510.40396342094573</v>
      </c>
      <c r="D122" s="64">
        <f t="shared" si="4"/>
        <v>635.39274569615702</v>
      </c>
      <c r="E122" s="64"/>
      <c r="F122" s="64"/>
      <c r="G122" s="64"/>
      <c r="H122" s="65">
        <f t="shared" si="5"/>
        <v>10</v>
      </c>
      <c r="I122" s="60"/>
    </row>
    <row r="123" spans="1:9" ht="12" customHeight="1">
      <c r="A123" s="63">
        <v>119</v>
      </c>
      <c r="B123" s="63"/>
      <c r="C123" s="64">
        <f t="shared" si="3"/>
        <v>512.10530996568218</v>
      </c>
      <c r="D123" s="64">
        <f t="shared" si="4"/>
        <v>633.69139915142046</v>
      </c>
      <c r="E123" s="64"/>
      <c r="F123" s="64"/>
      <c r="G123" s="64"/>
      <c r="H123" s="65">
        <f t="shared" si="5"/>
        <v>10</v>
      </c>
      <c r="I123" s="60"/>
    </row>
    <row r="124" spans="1:9" ht="12" customHeight="1">
      <c r="A124" s="66">
        <v>120</v>
      </c>
      <c r="B124" s="66"/>
      <c r="C124" s="67">
        <f t="shared" si="3"/>
        <v>513.81232766556775</v>
      </c>
      <c r="D124" s="67">
        <f t="shared" si="4"/>
        <v>631.98438145153489</v>
      </c>
      <c r="E124" s="67">
        <f>C1-SUM(C5:C124)</f>
        <v>189081.50210779492</v>
      </c>
      <c r="F124" s="67">
        <f>SUM(C5:C124)</f>
        <v>50918.497892205065</v>
      </c>
      <c r="G124" s="67">
        <f>SUM(C113:C124)</f>
        <v>6054.3231409924101</v>
      </c>
      <c r="H124" s="68">
        <f t="shared" si="5"/>
        <v>10</v>
      </c>
      <c r="I124" s="60"/>
    </row>
    <row r="125" spans="1:9" ht="12" customHeight="1">
      <c r="A125" s="69">
        <v>121</v>
      </c>
      <c r="B125" s="69"/>
      <c r="C125" s="70">
        <f t="shared" si="3"/>
        <v>515.52503542445299</v>
      </c>
      <c r="D125" s="70">
        <f t="shared" si="4"/>
        <v>630.27167369264964</v>
      </c>
      <c r="E125" s="70"/>
      <c r="F125" s="70"/>
      <c r="G125" s="70"/>
      <c r="H125" s="71">
        <f t="shared" si="5"/>
        <v>11</v>
      </c>
      <c r="I125" s="60"/>
    </row>
    <row r="126" spans="1:9" ht="12" customHeight="1">
      <c r="A126" s="69">
        <v>122</v>
      </c>
      <c r="B126" s="69"/>
      <c r="C126" s="70">
        <f t="shared" si="3"/>
        <v>517.24345220920122</v>
      </c>
      <c r="D126" s="70">
        <f t="shared" si="4"/>
        <v>628.55325690790141</v>
      </c>
      <c r="E126" s="70"/>
      <c r="F126" s="70"/>
      <c r="G126" s="70"/>
      <c r="H126" s="71">
        <f t="shared" si="5"/>
        <v>11</v>
      </c>
      <c r="I126" s="60"/>
    </row>
    <row r="127" spans="1:9" ht="12" customHeight="1">
      <c r="A127" s="69">
        <v>123</v>
      </c>
      <c r="B127" s="69"/>
      <c r="C127" s="70">
        <f t="shared" si="3"/>
        <v>518.96759704989847</v>
      </c>
      <c r="D127" s="70">
        <f t="shared" si="4"/>
        <v>626.82911206720439</v>
      </c>
      <c r="E127" s="70"/>
      <c r="F127" s="70"/>
      <c r="G127" s="70"/>
      <c r="H127" s="71">
        <f t="shared" si="5"/>
        <v>11</v>
      </c>
      <c r="I127" s="60"/>
    </row>
    <row r="128" spans="1:9" ht="12" customHeight="1">
      <c r="A128" s="69">
        <v>124</v>
      </c>
      <c r="B128" s="69"/>
      <c r="C128" s="70">
        <f t="shared" si="3"/>
        <v>520.69748904006497</v>
      </c>
      <c r="D128" s="70">
        <f t="shared" si="4"/>
        <v>625.09922007703778</v>
      </c>
      <c r="E128" s="70"/>
      <c r="F128" s="70"/>
      <c r="G128" s="70"/>
      <c r="H128" s="71">
        <f t="shared" si="5"/>
        <v>11</v>
      </c>
      <c r="I128" s="60"/>
    </row>
    <row r="129" spans="1:9" ht="12" customHeight="1">
      <c r="A129" s="69">
        <v>125</v>
      </c>
      <c r="B129" s="69"/>
      <c r="C129" s="70">
        <f t="shared" si="3"/>
        <v>522.43314733686509</v>
      </c>
      <c r="D129" s="70">
        <f t="shared" si="4"/>
        <v>623.36356178023755</v>
      </c>
      <c r="E129" s="70"/>
      <c r="F129" s="70"/>
      <c r="G129" s="70"/>
      <c r="H129" s="71">
        <f t="shared" si="5"/>
        <v>11</v>
      </c>
      <c r="I129" s="60"/>
    </row>
    <row r="130" spans="1:9" ht="12" customHeight="1">
      <c r="A130" s="69">
        <v>126</v>
      </c>
      <c r="B130" s="69"/>
      <c r="C130" s="70">
        <f t="shared" si="3"/>
        <v>524.17459116132136</v>
      </c>
      <c r="D130" s="70">
        <f t="shared" si="4"/>
        <v>621.6221179557815</v>
      </c>
      <c r="E130" s="70"/>
      <c r="F130" s="70"/>
      <c r="G130" s="70"/>
      <c r="H130" s="71">
        <f t="shared" si="5"/>
        <v>11</v>
      </c>
      <c r="I130" s="60"/>
    </row>
    <row r="131" spans="1:9" ht="12" customHeight="1">
      <c r="A131" s="69">
        <v>127</v>
      </c>
      <c r="B131" s="69"/>
      <c r="C131" s="70">
        <f t="shared" si="3"/>
        <v>525.92183979852564</v>
      </c>
      <c r="D131" s="70">
        <f t="shared" si="4"/>
        <v>619.874869318577</v>
      </c>
      <c r="E131" s="70"/>
      <c r="F131" s="70"/>
      <c r="G131" s="70"/>
      <c r="H131" s="71">
        <f t="shared" si="5"/>
        <v>11</v>
      </c>
      <c r="I131" s="60"/>
    </row>
    <row r="132" spans="1:9" ht="12" customHeight="1">
      <c r="A132" s="69">
        <v>128</v>
      </c>
      <c r="B132" s="69"/>
      <c r="C132" s="70">
        <f t="shared" si="3"/>
        <v>527.67491259785413</v>
      </c>
      <c r="D132" s="70">
        <f t="shared" si="4"/>
        <v>618.12179651924862</v>
      </c>
      <c r="E132" s="70"/>
      <c r="F132" s="70"/>
      <c r="G132" s="70"/>
      <c r="H132" s="71">
        <f t="shared" si="5"/>
        <v>11</v>
      </c>
      <c r="I132" s="60"/>
    </row>
    <row r="133" spans="1:9" ht="12" customHeight="1">
      <c r="A133" s="69">
        <v>129</v>
      </c>
      <c r="B133" s="69"/>
      <c r="C133" s="70">
        <f t="shared" ref="C133:C196" si="6">PPMT(C$2/12,A133,C$3,C$1*-1)</f>
        <v>529.43382897318031</v>
      </c>
      <c r="D133" s="70">
        <f t="shared" ref="D133:D196" si="7">IPMT(C$2/12,A133,C$3,C$1*-1)</f>
        <v>616.36288014392244</v>
      </c>
      <c r="E133" s="70"/>
      <c r="F133" s="70"/>
      <c r="G133" s="70"/>
      <c r="H133" s="71">
        <f t="shared" ref="H133:H196" si="8">ROUNDUP(A133/12,0)</f>
        <v>11</v>
      </c>
      <c r="I133" s="60"/>
    </row>
    <row r="134" spans="1:9" ht="12" customHeight="1">
      <c r="A134" s="69">
        <v>130</v>
      </c>
      <c r="B134" s="69"/>
      <c r="C134" s="70">
        <f t="shared" si="6"/>
        <v>531.19860840309082</v>
      </c>
      <c r="D134" s="70">
        <f t="shared" si="7"/>
        <v>614.59810071401182</v>
      </c>
      <c r="E134" s="70"/>
      <c r="F134" s="70"/>
      <c r="G134" s="70"/>
      <c r="H134" s="71">
        <f t="shared" si="8"/>
        <v>11</v>
      </c>
      <c r="I134" s="60"/>
    </row>
    <row r="135" spans="1:9" ht="12" customHeight="1">
      <c r="A135" s="69">
        <v>131</v>
      </c>
      <c r="B135" s="69"/>
      <c r="C135" s="70">
        <f t="shared" si="6"/>
        <v>532.96927043110111</v>
      </c>
      <c r="D135" s="70">
        <f t="shared" si="7"/>
        <v>612.82743868600153</v>
      </c>
      <c r="E135" s="70"/>
      <c r="F135" s="70"/>
      <c r="G135" s="70"/>
      <c r="H135" s="71">
        <f t="shared" si="8"/>
        <v>11</v>
      </c>
      <c r="I135" s="60"/>
    </row>
    <row r="136" spans="1:9" s="82" customFormat="1" ht="12" customHeight="1">
      <c r="A136" s="66">
        <v>132</v>
      </c>
      <c r="B136" s="66"/>
      <c r="C136" s="67">
        <f t="shared" si="6"/>
        <v>534.7458346658716</v>
      </c>
      <c r="D136" s="67">
        <f t="shared" si="7"/>
        <v>611.05087445123115</v>
      </c>
      <c r="E136" s="67">
        <f>C1-SUM(C4:C136)</f>
        <v>182780.5165007035</v>
      </c>
      <c r="F136" s="67">
        <f>SUM(C5:C136)</f>
        <v>57219.483499296504</v>
      </c>
      <c r="G136" s="67">
        <f>SUM(C125:C136)</f>
        <v>6300.9856070914275</v>
      </c>
      <c r="H136" s="68">
        <f t="shared" si="8"/>
        <v>11</v>
      </c>
      <c r="I136" s="81"/>
    </row>
    <row r="137" spans="1:9" ht="12" customHeight="1">
      <c r="A137" s="63">
        <v>133</v>
      </c>
      <c r="B137" s="63"/>
      <c r="C137" s="64">
        <f t="shared" si="6"/>
        <v>536.52832078142444</v>
      </c>
      <c r="D137" s="64">
        <f t="shared" si="7"/>
        <v>609.26838833567831</v>
      </c>
      <c r="E137" s="64"/>
      <c r="F137" s="64"/>
      <c r="G137" s="64"/>
      <c r="H137" s="65">
        <f t="shared" si="8"/>
        <v>12</v>
      </c>
      <c r="I137" s="60"/>
    </row>
    <row r="138" spans="1:9" ht="12" customHeight="1">
      <c r="A138" s="63">
        <v>134</v>
      </c>
      <c r="B138" s="63"/>
      <c r="C138" s="64">
        <f t="shared" si="6"/>
        <v>538.3167485173625</v>
      </c>
      <c r="D138" s="64">
        <f t="shared" si="7"/>
        <v>607.47996059974014</v>
      </c>
      <c r="E138" s="64"/>
      <c r="F138" s="64"/>
      <c r="G138" s="64"/>
      <c r="H138" s="65">
        <f t="shared" si="8"/>
        <v>12</v>
      </c>
      <c r="I138" s="60"/>
    </row>
    <row r="139" spans="1:9" ht="12" customHeight="1">
      <c r="A139" s="63">
        <v>135</v>
      </c>
      <c r="B139" s="63"/>
      <c r="C139" s="64">
        <f t="shared" si="6"/>
        <v>540.11113767908705</v>
      </c>
      <c r="D139" s="64">
        <f t="shared" si="7"/>
        <v>605.6855714380157</v>
      </c>
      <c r="E139" s="64"/>
      <c r="F139" s="64"/>
      <c r="G139" s="64"/>
      <c r="H139" s="65">
        <f t="shared" si="8"/>
        <v>12</v>
      </c>
      <c r="I139" s="60"/>
    </row>
    <row r="140" spans="1:9" ht="12" customHeight="1">
      <c r="A140" s="63">
        <v>136</v>
      </c>
      <c r="B140" s="63"/>
      <c r="C140" s="64">
        <f t="shared" si="6"/>
        <v>541.91150813801733</v>
      </c>
      <c r="D140" s="64">
        <f t="shared" si="7"/>
        <v>603.88520097908531</v>
      </c>
      <c r="E140" s="64"/>
      <c r="F140" s="64"/>
      <c r="G140" s="64"/>
      <c r="H140" s="65">
        <f t="shared" si="8"/>
        <v>12</v>
      </c>
      <c r="I140" s="60"/>
    </row>
    <row r="141" spans="1:9" ht="12" customHeight="1">
      <c r="A141" s="63">
        <v>137</v>
      </c>
      <c r="B141" s="63"/>
      <c r="C141" s="64">
        <f t="shared" si="6"/>
        <v>543.71787983181071</v>
      </c>
      <c r="D141" s="64">
        <f t="shared" si="7"/>
        <v>602.07882928529193</v>
      </c>
      <c r="E141" s="64"/>
      <c r="F141" s="64"/>
      <c r="G141" s="64"/>
      <c r="H141" s="65">
        <f t="shared" si="8"/>
        <v>12</v>
      </c>
      <c r="I141" s="60"/>
    </row>
    <row r="142" spans="1:9" ht="12" customHeight="1">
      <c r="A142" s="63">
        <v>138</v>
      </c>
      <c r="B142" s="63"/>
      <c r="C142" s="64">
        <f t="shared" si="6"/>
        <v>545.53027276458351</v>
      </c>
      <c r="D142" s="64">
        <f t="shared" si="7"/>
        <v>600.26643635251924</v>
      </c>
      <c r="E142" s="64"/>
      <c r="F142" s="64"/>
      <c r="G142" s="64"/>
      <c r="H142" s="65">
        <f t="shared" si="8"/>
        <v>12</v>
      </c>
      <c r="I142" s="60"/>
    </row>
    <row r="143" spans="1:9" ht="12" customHeight="1">
      <c r="A143" s="63">
        <v>139</v>
      </c>
      <c r="B143" s="63"/>
      <c r="C143" s="64">
        <f t="shared" si="6"/>
        <v>547.34870700713202</v>
      </c>
      <c r="D143" s="64">
        <f t="shared" si="7"/>
        <v>598.44800210997073</v>
      </c>
      <c r="E143" s="64"/>
      <c r="F143" s="64"/>
      <c r="G143" s="64"/>
      <c r="H143" s="65">
        <f t="shared" si="8"/>
        <v>12</v>
      </c>
      <c r="I143" s="60"/>
    </row>
    <row r="144" spans="1:9" ht="12" customHeight="1">
      <c r="A144" s="63">
        <v>140</v>
      </c>
      <c r="B144" s="63"/>
      <c r="C144" s="64">
        <f t="shared" si="6"/>
        <v>549.17320269715583</v>
      </c>
      <c r="D144" s="64">
        <f t="shared" si="7"/>
        <v>596.62350641994681</v>
      </c>
      <c r="E144" s="64"/>
      <c r="F144" s="64"/>
      <c r="G144" s="64"/>
      <c r="H144" s="65">
        <f t="shared" si="8"/>
        <v>12</v>
      </c>
      <c r="I144" s="60"/>
    </row>
    <row r="145" spans="1:9" ht="12" customHeight="1">
      <c r="A145" s="63">
        <v>141</v>
      </c>
      <c r="B145" s="63"/>
      <c r="C145" s="64">
        <f t="shared" si="6"/>
        <v>551.00378003947969</v>
      </c>
      <c r="D145" s="64">
        <f t="shared" si="7"/>
        <v>594.79292907762306</v>
      </c>
      <c r="E145" s="64"/>
      <c r="F145" s="64"/>
      <c r="G145" s="64"/>
      <c r="H145" s="65">
        <f t="shared" si="8"/>
        <v>12</v>
      </c>
      <c r="I145" s="60"/>
    </row>
    <row r="146" spans="1:9" ht="12" customHeight="1">
      <c r="A146" s="63">
        <v>142</v>
      </c>
      <c r="B146" s="63"/>
      <c r="C146" s="64">
        <f t="shared" si="6"/>
        <v>552.84045930627792</v>
      </c>
      <c r="D146" s="64">
        <f t="shared" si="7"/>
        <v>592.95624981082472</v>
      </c>
      <c r="E146" s="64"/>
      <c r="F146" s="64"/>
      <c r="G146" s="64"/>
      <c r="H146" s="65">
        <f t="shared" si="8"/>
        <v>12</v>
      </c>
      <c r="I146" s="60"/>
    </row>
    <row r="147" spans="1:9" ht="12" customHeight="1">
      <c r="A147" s="63">
        <v>143</v>
      </c>
      <c r="B147" s="63"/>
      <c r="C147" s="64">
        <f t="shared" si="6"/>
        <v>554.6832608372988</v>
      </c>
      <c r="D147" s="64">
        <f t="shared" si="7"/>
        <v>591.11344827980383</v>
      </c>
      <c r="E147" s="64"/>
      <c r="F147" s="64"/>
      <c r="G147" s="64"/>
      <c r="H147" s="65">
        <f t="shared" si="8"/>
        <v>12</v>
      </c>
      <c r="I147" s="60"/>
    </row>
    <row r="148" spans="1:9" s="82" customFormat="1" ht="12" customHeight="1">
      <c r="A148" s="66">
        <v>144</v>
      </c>
      <c r="B148" s="66"/>
      <c r="C148" s="67">
        <f t="shared" si="6"/>
        <v>556.53220504008982</v>
      </c>
      <c r="D148" s="67">
        <f t="shared" si="7"/>
        <v>589.26450407701282</v>
      </c>
      <c r="E148" s="67">
        <f>C1-SUM(C4:C148)</f>
        <v>176222.81901806378</v>
      </c>
      <c r="F148" s="67">
        <f>SUM(C5:C148)</f>
        <v>63777.180981936224</v>
      </c>
      <c r="G148" s="67">
        <f>SUM(C137:C148)</f>
        <v>6557.6974826397191</v>
      </c>
      <c r="H148" s="68">
        <f t="shared" si="8"/>
        <v>12</v>
      </c>
      <c r="I148" s="81"/>
    </row>
    <row r="149" spans="1:9" ht="12" customHeight="1">
      <c r="A149" s="69">
        <v>145</v>
      </c>
      <c r="B149" s="69"/>
      <c r="C149" s="70">
        <f t="shared" si="6"/>
        <v>558.38731239022354</v>
      </c>
      <c r="D149" s="70">
        <f t="shared" si="7"/>
        <v>587.40939672687932</v>
      </c>
      <c r="E149" s="70"/>
      <c r="F149" s="70"/>
      <c r="G149" s="70"/>
      <c r="H149" s="71">
        <f t="shared" si="8"/>
        <v>13</v>
      </c>
      <c r="I149" s="60"/>
    </row>
    <row r="150" spans="1:9" ht="12" customHeight="1">
      <c r="A150" s="69">
        <v>146</v>
      </c>
      <c r="B150" s="69"/>
      <c r="C150" s="70">
        <f t="shared" si="6"/>
        <v>560.24860343152432</v>
      </c>
      <c r="D150" s="70">
        <f t="shared" si="7"/>
        <v>585.54810568557855</v>
      </c>
      <c r="E150" s="70"/>
      <c r="F150" s="70"/>
      <c r="G150" s="70"/>
      <c r="H150" s="71">
        <f t="shared" si="8"/>
        <v>13</v>
      </c>
      <c r="I150" s="60"/>
    </row>
    <row r="151" spans="1:9" ht="12" customHeight="1">
      <c r="A151" s="69">
        <v>147</v>
      </c>
      <c r="B151" s="69"/>
      <c r="C151" s="70">
        <f t="shared" si="6"/>
        <v>562.11609877629598</v>
      </c>
      <c r="D151" s="70">
        <f t="shared" si="7"/>
        <v>583.68061034080677</v>
      </c>
      <c r="E151" s="70"/>
      <c r="F151" s="70"/>
      <c r="G151" s="70"/>
      <c r="H151" s="71">
        <f t="shared" si="8"/>
        <v>13</v>
      </c>
      <c r="I151" s="60"/>
    </row>
    <row r="152" spans="1:9" ht="12" customHeight="1">
      <c r="A152" s="69">
        <v>148</v>
      </c>
      <c r="B152" s="69"/>
      <c r="C152" s="70">
        <f t="shared" si="6"/>
        <v>563.9898191055504</v>
      </c>
      <c r="D152" s="70">
        <f t="shared" si="7"/>
        <v>581.80689001155235</v>
      </c>
      <c r="E152" s="70"/>
      <c r="F152" s="70"/>
      <c r="G152" s="70"/>
      <c r="H152" s="71">
        <f t="shared" si="8"/>
        <v>13</v>
      </c>
      <c r="I152" s="60"/>
    </row>
    <row r="153" spans="1:9" ht="12" customHeight="1">
      <c r="A153" s="69">
        <v>149</v>
      </c>
      <c r="B153" s="69"/>
      <c r="C153" s="70">
        <f t="shared" si="6"/>
        <v>565.86978516923546</v>
      </c>
      <c r="D153" s="70">
        <f t="shared" si="7"/>
        <v>579.92692394786718</v>
      </c>
      <c r="E153" s="70"/>
      <c r="F153" s="70"/>
      <c r="G153" s="70"/>
      <c r="H153" s="71">
        <f t="shared" si="8"/>
        <v>13</v>
      </c>
      <c r="I153" s="60"/>
    </row>
    <row r="154" spans="1:9" ht="12" customHeight="1">
      <c r="A154" s="69">
        <v>150</v>
      </c>
      <c r="B154" s="69"/>
      <c r="C154" s="70">
        <f t="shared" si="6"/>
        <v>567.75601778646626</v>
      </c>
      <c r="D154" s="70">
        <f t="shared" si="7"/>
        <v>578.04069133063649</v>
      </c>
      <c r="E154" s="70"/>
      <c r="F154" s="70"/>
      <c r="G154" s="70"/>
      <c r="H154" s="71">
        <f t="shared" si="8"/>
        <v>13</v>
      </c>
      <c r="I154" s="60"/>
    </row>
    <row r="155" spans="1:9" ht="12" customHeight="1">
      <c r="A155" s="69">
        <v>151</v>
      </c>
      <c r="B155" s="69"/>
      <c r="C155" s="70">
        <f t="shared" si="6"/>
        <v>569.6485378457545</v>
      </c>
      <c r="D155" s="70">
        <f t="shared" si="7"/>
        <v>576.14817127134825</v>
      </c>
      <c r="E155" s="70"/>
      <c r="F155" s="70"/>
      <c r="G155" s="70"/>
      <c r="H155" s="71">
        <f t="shared" si="8"/>
        <v>13</v>
      </c>
      <c r="I155" s="60"/>
    </row>
    <row r="156" spans="1:9" ht="12" customHeight="1">
      <c r="A156" s="69">
        <v>152</v>
      </c>
      <c r="B156" s="69"/>
      <c r="C156" s="70">
        <f t="shared" si="6"/>
        <v>571.54736630524042</v>
      </c>
      <c r="D156" s="70">
        <f t="shared" si="7"/>
        <v>574.24934281186222</v>
      </c>
      <c r="E156" s="70"/>
      <c r="F156" s="70"/>
      <c r="G156" s="70"/>
      <c r="H156" s="71">
        <f t="shared" si="8"/>
        <v>13</v>
      </c>
      <c r="I156" s="60"/>
    </row>
    <row r="157" spans="1:9" ht="12" customHeight="1">
      <c r="A157" s="69">
        <v>153</v>
      </c>
      <c r="B157" s="69"/>
      <c r="C157" s="70">
        <f t="shared" si="6"/>
        <v>573.45252419292444</v>
      </c>
      <c r="D157" s="70">
        <f t="shared" si="7"/>
        <v>572.34418492417819</v>
      </c>
      <c r="E157" s="70"/>
      <c r="F157" s="70"/>
      <c r="G157" s="70"/>
      <c r="H157" s="71">
        <f t="shared" si="8"/>
        <v>13</v>
      </c>
      <c r="I157" s="60"/>
    </row>
    <row r="158" spans="1:9" ht="12" customHeight="1">
      <c r="A158" s="69">
        <v>154</v>
      </c>
      <c r="B158" s="69"/>
      <c r="C158" s="70">
        <f t="shared" si="6"/>
        <v>575.36403260690088</v>
      </c>
      <c r="D158" s="70">
        <f t="shared" si="7"/>
        <v>570.43267651020187</v>
      </c>
      <c r="E158" s="70"/>
      <c r="F158" s="70"/>
      <c r="G158" s="70"/>
      <c r="H158" s="71">
        <f t="shared" si="8"/>
        <v>13</v>
      </c>
      <c r="I158" s="60"/>
    </row>
    <row r="159" spans="1:9" ht="12" customHeight="1">
      <c r="A159" s="69">
        <v>155</v>
      </c>
      <c r="B159" s="69"/>
      <c r="C159" s="70">
        <f t="shared" si="6"/>
        <v>577.28191271559058</v>
      </c>
      <c r="D159" s="70">
        <f t="shared" si="7"/>
        <v>568.51479640151217</v>
      </c>
      <c r="E159" s="70"/>
      <c r="F159" s="70"/>
      <c r="G159" s="70"/>
      <c r="H159" s="71">
        <f t="shared" si="8"/>
        <v>13</v>
      </c>
      <c r="I159" s="60"/>
    </row>
    <row r="160" spans="1:9" s="82" customFormat="1" ht="12" customHeight="1">
      <c r="A160" s="66">
        <v>156</v>
      </c>
      <c r="B160" s="66"/>
      <c r="C160" s="67">
        <f t="shared" si="6"/>
        <v>579.20618575797585</v>
      </c>
      <c r="D160" s="67">
        <f t="shared" si="7"/>
        <v>566.59052335912691</v>
      </c>
      <c r="E160" s="67">
        <f>C1-SUM(C4:C160)</f>
        <v>169397.95082198008</v>
      </c>
      <c r="F160" s="67">
        <f>SUM(C5:C160)</f>
        <v>70602.049178019923</v>
      </c>
      <c r="G160" s="67">
        <f>SUM(C149:C160)</f>
        <v>6824.8681960836821</v>
      </c>
      <c r="H160" s="68">
        <f t="shared" si="8"/>
        <v>13</v>
      </c>
      <c r="I160" s="81"/>
    </row>
    <row r="161" spans="1:9" ht="12" customHeight="1">
      <c r="A161" s="63">
        <v>157</v>
      </c>
      <c r="B161" s="63"/>
      <c r="C161" s="64">
        <f t="shared" si="6"/>
        <v>581.13687304383575</v>
      </c>
      <c r="D161" s="64">
        <f t="shared" si="7"/>
        <v>564.659836073267</v>
      </c>
      <c r="E161" s="64"/>
      <c r="F161" s="64"/>
      <c r="G161" s="64"/>
      <c r="H161" s="65">
        <f t="shared" si="8"/>
        <v>14</v>
      </c>
      <c r="I161" s="60"/>
    </row>
    <row r="162" spans="1:9" ht="12" customHeight="1">
      <c r="A162" s="63">
        <v>158</v>
      </c>
      <c r="B162" s="63"/>
      <c r="C162" s="64">
        <f t="shared" si="6"/>
        <v>583.07399595398192</v>
      </c>
      <c r="D162" s="64">
        <f t="shared" si="7"/>
        <v>562.72271316312094</v>
      </c>
      <c r="E162" s="64"/>
      <c r="F162" s="64"/>
      <c r="G162" s="64"/>
      <c r="H162" s="65">
        <f t="shared" si="8"/>
        <v>14</v>
      </c>
      <c r="I162" s="60"/>
    </row>
    <row r="163" spans="1:9" ht="12" customHeight="1">
      <c r="A163" s="63">
        <v>159</v>
      </c>
      <c r="B163" s="63"/>
      <c r="C163" s="64">
        <f t="shared" si="6"/>
        <v>585.01757594049514</v>
      </c>
      <c r="D163" s="64">
        <f t="shared" si="7"/>
        <v>560.77913317660762</v>
      </c>
      <c r="E163" s="64"/>
      <c r="F163" s="64"/>
      <c r="G163" s="64"/>
      <c r="H163" s="65">
        <f t="shared" si="8"/>
        <v>14</v>
      </c>
      <c r="I163" s="60"/>
    </row>
    <row r="164" spans="1:9" ht="12" customHeight="1">
      <c r="A164" s="63">
        <v>160</v>
      </c>
      <c r="B164" s="63"/>
      <c r="C164" s="64">
        <f t="shared" si="6"/>
        <v>586.96763452696359</v>
      </c>
      <c r="D164" s="64">
        <f t="shared" si="7"/>
        <v>558.82907459013927</v>
      </c>
      <c r="E164" s="64"/>
      <c r="F164" s="64"/>
      <c r="G164" s="64"/>
      <c r="H164" s="65">
        <f t="shared" si="8"/>
        <v>14</v>
      </c>
      <c r="I164" s="60"/>
    </row>
    <row r="165" spans="1:9" ht="12" customHeight="1">
      <c r="A165" s="63">
        <v>161</v>
      </c>
      <c r="B165" s="63"/>
      <c r="C165" s="64">
        <f t="shared" si="6"/>
        <v>588.92419330871996</v>
      </c>
      <c r="D165" s="64">
        <f t="shared" si="7"/>
        <v>556.87251580838267</v>
      </c>
      <c r="E165" s="64"/>
      <c r="F165" s="64"/>
      <c r="G165" s="64"/>
      <c r="H165" s="65">
        <f t="shared" si="8"/>
        <v>14</v>
      </c>
      <c r="I165" s="60"/>
    </row>
    <row r="166" spans="1:9" ht="12" customHeight="1">
      <c r="A166" s="63">
        <v>162</v>
      </c>
      <c r="B166" s="63"/>
      <c r="C166" s="64">
        <f t="shared" si="6"/>
        <v>590.88727395308251</v>
      </c>
      <c r="D166" s="64">
        <f t="shared" si="7"/>
        <v>554.90943516402035</v>
      </c>
      <c r="E166" s="64"/>
      <c r="F166" s="64"/>
      <c r="G166" s="64"/>
      <c r="H166" s="65">
        <f t="shared" si="8"/>
        <v>14</v>
      </c>
      <c r="I166" s="60"/>
    </row>
    <row r="167" spans="1:9" ht="12" customHeight="1">
      <c r="A167" s="63">
        <v>163</v>
      </c>
      <c r="B167" s="63"/>
      <c r="C167" s="64">
        <f t="shared" si="6"/>
        <v>592.85689819959271</v>
      </c>
      <c r="D167" s="64">
        <f t="shared" si="7"/>
        <v>552.93981091751004</v>
      </c>
      <c r="E167" s="64"/>
      <c r="F167" s="64"/>
      <c r="G167" s="64"/>
      <c r="H167" s="65">
        <f t="shared" si="8"/>
        <v>14</v>
      </c>
      <c r="I167" s="60"/>
    </row>
    <row r="168" spans="1:9" ht="12" customHeight="1">
      <c r="A168" s="63">
        <v>164</v>
      </c>
      <c r="B168" s="63"/>
      <c r="C168" s="64">
        <f t="shared" si="6"/>
        <v>594.83308786025805</v>
      </c>
      <c r="D168" s="64">
        <f t="shared" si="7"/>
        <v>550.9636212568447</v>
      </c>
      <c r="E168" s="64"/>
      <c r="F168" s="64"/>
      <c r="G168" s="64"/>
      <c r="H168" s="65">
        <f t="shared" si="8"/>
        <v>14</v>
      </c>
      <c r="I168" s="60"/>
    </row>
    <row r="169" spans="1:9" ht="12" customHeight="1">
      <c r="A169" s="63">
        <v>165</v>
      </c>
      <c r="B169" s="63"/>
      <c r="C169" s="64">
        <f t="shared" si="6"/>
        <v>596.81586481979218</v>
      </c>
      <c r="D169" s="64">
        <f t="shared" si="7"/>
        <v>548.98084429731057</v>
      </c>
      <c r="E169" s="64"/>
      <c r="F169" s="64"/>
      <c r="G169" s="64"/>
      <c r="H169" s="65">
        <f t="shared" si="8"/>
        <v>14</v>
      </c>
      <c r="I169" s="60"/>
    </row>
    <row r="170" spans="1:9" ht="12" customHeight="1">
      <c r="A170" s="63">
        <v>166</v>
      </c>
      <c r="B170" s="63"/>
      <c r="C170" s="64">
        <f t="shared" si="6"/>
        <v>598.80525103585819</v>
      </c>
      <c r="D170" s="64">
        <f t="shared" si="7"/>
        <v>546.99145808124467</v>
      </c>
      <c r="E170" s="64"/>
      <c r="F170" s="64"/>
      <c r="G170" s="64"/>
      <c r="H170" s="65">
        <f t="shared" si="8"/>
        <v>14</v>
      </c>
      <c r="I170" s="60"/>
    </row>
    <row r="171" spans="1:9" ht="12" customHeight="1">
      <c r="A171" s="63">
        <v>167</v>
      </c>
      <c r="B171" s="63"/>
      <c r="C171" s="64">
        <f t="shared" si="6"/>
        <v>600.80126853931108</v>
      </c>
      <c r="D171" s="64">
        <f t="shared" si="7"/>
        <v>544.99544057779178</v>
      </c>
      <c r="E171" s="64"/>
      <c r="F171" s="64"/>
      <c r="G171" s="64"/>
      <c r="H171" s="65">
        <f t="shared" si="8"/>
        <v>14</v>
      </c>
      <c r="I171" s="60"/>
    </row>
    <row r="172" spans="1:9" s="82" customFormat="1" ht="12" customHeight="1">
      <c r="A172" s="66">
        <v>168</v>
      </c>
      <c r="B172" s="66"/>
      <c r="C172" s="67">
        <f t="shared" si="6"/>
        <v>602.8039394344421</v>
      </c>
      <c r="D172" s="67">
        <f t="shared" si="7"/>
        <v>542.99276968266065</v>
      </c>
      <c r="E172" s="67">
        <f>C1-SUM(C4:C172)</f>
        <v>162295.02696536377</v>
      </c>
      <c r="F172" s="67">
        <f>SUM(C5:C172)</f>
        <v>77704.973034636234</v>
      </c>
      <c r="G172" s="67">
        <f>SUM(C161:C172)</f>
        <v>7102.9238566163349</v>
      </c>
      <c r="H172" s="68">
        <f t="shared" si="8"/>
        <v>14</v>
      </c>
      <c r="I172" s="81"/>
    </row>
    <row r="173" spans="1:9" ht="12" customHeight="1">
      <c r="A173" s="69">
        <v>169</v>
      </c>
      <c r="B173" s="69"/>
      <c r="C173" s="70">
        <f t="shared" si="6"/>
        <v>604.8132858992235</v>
      </c>
      <c r="D173" s="70">
        <f t="shared" si="7"/>
        <v>540.98342321787914</v>
      </c>
      <c r="E173" s="70"/>
      <c r="F173" s="70"/>
      <c r="G173" s="70"/>
      <c r="H173" s="71">
        <f t="shared" si="8"/>
        <v>15</v>
      </c>
      <c r="I173" s="60"/>
    </row>
    <row r="174" spans="1:9" ht="12" customHeight="1">
      <c r="A174" s="69">
        <v>170</v>
      </c>
      <c r="B174" s="69"/>
      <c r="C174" s="70">
        <f t="shared" si="6"/>
        <v>606.82933018555434</v>
      </c>
      <c r="D174" s="70">
        <f t="shared" si="7"/>
        <v>538.96737893154852</v>
      </c>
      <c r="E174" s="70"/>
      <c r="F174" s="70"/>
      <c r="G174" s="70"/>
      <c r="H174" s="71">
        <f t="shared" si="8"/>
        <v>15</v>
      </c>
      <c r="I174" s="60"/>
    </row>
    <row r="175" spans="1:9" ht="12" customHeight="1">
      <c r="A175" s="69">
        <v>171</v>
      </c>
      <c r="B175" s="69"/>
      <c r="C175" s="70">
        <f t="shared" si="6"/>
        <v>608.85209461950615</v>
      </c>
      <c r="D175" s="70">
        <f t="shared" si="7"/>
        <v>536.94461449759672</v>
      </c>
      <c r="E175" s="70"/>
      <c r="F175" s="70"/>
      <c r="G175" s="70"/>
      <c r="H175" s="71">
        <f t="shared" si="8"/>
        <v>15</v>
      </c>
      <c r="I175" s="60"/>
    </row>
    <row r="176" spans="1:9" ht="12" customHeight="1">
      <c r="A176" s="69">
        <v>172</v>
      </c>
      <c r="B176" s="69"/>
      <c r="C176" s="70">
        <f t="shared" si="6"/>
        <v>610.88160160157111</v>
      </c>
      <c r="D176" s="70">
        <f t="shared" si="7"/>
        <v>534.91510751553142</v>
      </c>
      <c r="E176" s="70"/>
      <c r="F176" s="70"/>
      <c r="G176" s="70"/>
      <c r="H176" s="71">
        <f t="shared" si="8"/>
        <v>15</v>
      </c>
      <c r="I176" s="60"/>
    </row>
    <row r="177" spans="1:9" ht="12" customHeight="1">
      <c r="A177" s="69">
        <v>173</v>
      </c>
      <c r="B177" s="69"/>
      <c r="C177" s="70">
        <f t="shared" si="6"/>
        <v>612.91787360690978</v>
      </c>
      <c r="D177" s="70">
        <f t="shared" si="7"/>
        <v>532.87883551019297</v>
      </c>
      <c r="E177" s="70"/>
      <c r="F177" s="70"/>
      <c r="G177" s="70"/>
      <c r="H177" s="71">
        <f t="shared" si="8"/>
        <v>15</v>
      </c>
      <c r="I177" s="60"/>
    </row>
    <row r="178" spans="1:9" ht="12" customHeight="1">
      <c r="A178" s="69">
        <v>174</v>
      </c>
      <c r="B178" s="69"/>
      <c r="C178" s="70">
        <f t="shared" si="6"/>
        <v>614.96093318559952</v>
      </c>
      <c r="D178" s="70">
        <f t="shared" si="7"/>
        <v>530.83577593150324</v>
      </c>
      <c r="E178" s="70"/>
      <c r="F178" s="70"/>
      <c r="G178" s="70"/>
      <c r="H178" s="71">
        <f t="shared" si="8"/>
        <v>15</v>
      </c>
      <c r="I178" s="60"/>
    </row>
    <row r="179" spans="1:9" ht="12" customHeight="1">
      <c r="A179" s="69">
        <v>175</v>
      </c>
      <c r="B179" s="69"/>
      <c r="C179" s="70">
        <f t="shared" si="6"/>
        <v>617.01080296288478</v>
      </c>
      <c r="D179" s="70">
        <f t="shared" si="7"/>
        <v>528.78590615421786</v>
      </c>
      <c r="E179" s="70"/>
      <c r="F179" s="70"/>
      <c r="G179" s="70"/>
      <c r="H179" s="71">
        <f t="shared" si="8"/>
        <v>15</v>
      </c>
      <c r="I179" s="60"/>
    </row>
    <row r="180" spans="1:9" ht="12" customHeight="1">
      <c r="A180" s="69">
        <v>176</v>
      </c>
      <c r="B180" s="69"/>
      <c r="C180" s="70">
        <f t="shared" si="6"/>
        <v>619.06750563942774</v>
      </c>
      <c r="D180" s="70">
        <f t="shared" si="7"/>
        <v>526.72920347767501</v>
      </c>
      <c r="E180" s="70"/>
      <c r="F180" s="70"/>
      <c r="G180" s="70"/>
      <c r="H180" s="71">
        <f t="shared" si="8"/>
        <v>15</v>
      </c>
      <c r="I180" s="60"/>
    </row>
    <row r="181" spans="1:9" ht="12" customHeight="1">
      <c r="A181" s="69">
        <v>177</v>
      </c>
      <c r="B181" s="69"/>
      <c r="C181" s="70">
        <f t="shared" si="6"/>
        <v>621.13106399155913</v>
      </c>
      <c r="D181" s="70">
        <f t="shared" si="7"/>
        <v>524.66564512554351</v>
      </c>
      <c r="E181" s="70"/>
      <c r="F181" s="70"/>
      <c r="G181" s="70"/>
      <c r="H181" s="71">
        <f t="shared" si="8"/>
        <v>15</v>
      </c>
      <c r="I181" s="60"/>
    </row>
    <row r="182" spans="1:9" ht="12" customHeight="1">
      <c r="A182" s="69">
        <v>178</v>
      </c>
      <c r="B182" s="69"/>
      <c r="C182" s="70">
        <f t="shared" si="6"/>
        <v>623.20150087153092</v>
      </c>
      <c r="D182" s="70">
        <f t="shared" si="7"/>
        <v>522.5952082455716</v>
      </c>
      <c r="E182" s="70"/>
      <c r="F182" s="70"/>
      <c r="G182" s="70"/>
      <c r="H182" s="71">
        <f t="shared" si="8"/>
        <v>15</v>
      </c>
      <c r="I182" s="60"/>
    </row>
    <row r="183" spans="1:9" ht="12" customHeight="1">
      <c r="A183" s="69">
        <v>179</v>
      </c>
      <c r="B183" s="69"/>
      <c r="C183" s="70">
        <f t="shared" si="6"/>
        <v>625.27883920776958</v>
      </c>
      <c r="D183" s="70">
        <f t="shared" si="7"/>
        <v>520.51786990933317</v>
      </c>
      <c r="E183" s="70"/>
      <c r="F183" s="70"/>
      <c r="G183" s="70"/>
      <c r="H183" s="71">
        <f t="shared" si="8"/>
        <v>15</v>
      </c>
      <c r="I183" s="60"/>
    </row>
    <row r="184" spans="1:9" ht="12" customHeight="1">
      <c r="A184" s="66">
        <v>180</v>
      </c>
      <c r="B184" s="66"/>
      <c r="C184" s="67">
        <f t="shared" si="6"/>
        <v>627.36310200512855</v>
      </c>
      <c r="D184" s="67">
        <f t="shared" si="7"/>
        <v>518.43360711197397</v>
      </c>
      <c r="E184" s="67">
        <f>C1-SUM(C5:C184)</f>
        <v>154902.7190315871</v>
      </c>
      <c r="F184" s="67">
        <f>SUM(C5:C184)</f>
        <v>85097.280968412902</v>
      </c>
      <c r="G184" s="67">
        <f>SUM(C173:C184)</f>
        <v>7392.3079337766649</v>
      </c>
      <c r="H184" s="68">
        <f t="shared" si="8"/>
        <v>15</v>
      </c>
      <c r="I184" s="60"/>
    </row>
    <row r="185" spans="1:9" ht="12" customHeight="1">
      <c r="A185" s="63">
        <v>181</v>
      </c>
      <c r="B185" s="63"/>
      <c r="C185" s="64">
        <f t="shared" si="6"/>
        <v>629.45431234514592</v>
      </c>
      <c r="D185" s="64">
        <f t="shared" si="7"/>
        <v>516.34239677195706</v>
      </c>
      <c r="E185" s="64"/>
      <c r="F185" s="64"/>
      <c r="G185" s="64"/>
      <c r="H185" s="65">
        <f t="shared" si="8"/>
        <v>16</v>
      </c>
      <c r="I185" s="60"/>
    </row>
    <row r="186" spans="1:9" ht="12" customHeight="1">
      <c r="A186" s="63">
        <v>182</v>
      </c>
      <c r="B186" s="63"/>
      <c r="C186" s="64">
        <f t="shared" si="6"/>
        <v>631.55249338629631</v>
      </c>
      <c r="D186" s="64">
        <f t="shared" si="7"/>
        <v>514.24421573080645</v>
      </c>
      <c r="E186" s="64"/>
      <c r="F186" s="64"/>
      <c r="G186" s="64"/>
      <c r="H186" s="65">
        <f t="shared" si="8"/>
        <v>16</v>
      </c>
      <c r="I186" s="60"/>
    </row>
    <row r="187" spans="1:9" ht="12" customHeight="1">
      <c r="A187" s="63">
        <v>183</v>
      </c>
      <c r="B187" s="63"/>
      <c r="C187" s="64">
        <f t="shared" si="6"/>
        <v>633.65766836425053</v>
      </c>
      <c r="D187" s="64">
        <f t="shared" si="7"/>
        <v>512.139040752852</v>
      </c>
      <c r="E187" s="64"/>
      <c r="F187" s="64"/>
      <c r="G187" s="64"/>
      <c r="H187" s="65">
        <f t="shared" si="8"/>
        <v>16</v>
      </c>
      <c r="I187" s="60"/>
    </row>
    <row r="188" spans="1:9" ht="12" customHeight="1">
      <c r="A188" s="63">
        <v>184</v>
      </c>
      <c r="B188" s="63"/>
      <c r="C188" s="64">
        <f t="shared" si="6"/>
        <v>635.76986059213129</v>
      </c>
      <c r="D188" s="64">
        <f t="shared" si="7"/>
        <v>510.02684852497134</v>
      </c>
      <c r="E188" s="64"/>
      <c r="F188" s="64"/>
      <c r="G188" s="64"/>
      <c r="H188" s="65">
        <f t="shared" si="8"/>
        <v>16</v>
      </c>
      <c r="I188" s="60"/>
    </row>
    <row r="189" spans="1:9" ht="12" customHeight="1">
      <c r="A189" s="63">
        <v>185</v>
      </c>
      <c r="B189" s="63"/>
      <c r="C189" s="64">
        <f t="shared" si="6"/>
        <v>637.88909346077173</v>
      </c>
      <c r="D189" s="64">
        <f t="shared" si="7"/>
        <v>507.90761565633073</v>
      </c>
      <c r="E189" s="64"/>
      <c r="F189" s="64"/>
      <c r="G189" s="64"/>
      <c r="H189" s="65">
        <f t="shared" si="8"/>
        <v>16</v>
      </c>
      <c r="I189" s="60"/>
    </row>
    <row r="190" spans="1:9" ht="12" customHeight="1">
      <c r="A190" s="63">
        <v>186</v>
      </c>
      <c r="B190" s="63"/>
      <c r="C190" s="64">
        <f t="shared" si="6"/>
        <v>640.01539043897446</v>
      </c>
      <c r="D190" s="64">
        <f t="shared" si="7"/>
        <v>505.78131867812834</v>
      </c>
      <c r="E190" s="64"/>
      <c r="F190" s="64"/>
      <c r="G190" s="64"/>
      <c r="H190" s="65">
        <f t="shared" si="8"/>
        <v>16</v>
      </c>
      <c r="I190" s="60"/>
    </row>
    <row r="191" spans="1:9" ht="12" customHeight="1">
      <c r="A191" s="63">
        <v>187</v>
      </c>
      <c r="B191" s="63"/>
      <c r="C191" s="64">
        <f t="shared" si="6"/>
        <v>642.14877507377105</v>
      </c>
      <c r="D191" s="64">
        <f t="shared" si="7"/>
        <v>503.6479340433317</v>
      </c>
      <c r="E191" s="64"/>
      <c r="F191" s="64"/>
      <c r="G191" s="64"/>
      <c r="H191" s="65">
        <f t="shared" si="8"/>
        <v>16</v>
      </c>
      <c r="I191" s="60"/>
    </row>
    <row r="192" spans="1:9" ht="12" customHeight="1">
      <c r="A192" s="63">
        <v>188</v>
      </c>
      <c r="B192" s="63"/>
      <c r="C192" s="64">
        <f t="shared" si="6"/>
        <v>644.28927099068358</v>
      </c>
      <c r="D192" s="64">
        <f t="shared" si="7"/>
        <v>501.50743812641917</v>
      </c>
      <c r="E192" s="64"/>
      <c r="F192" s="64"/>
      <c r="G192" s="64"/>
      <c r="H192" s="65">
        <f t="shared" si="8"/>
        <v>16</v>
      </c>
      <c r="I192" s="60"/>
    </row>
    <row r="193" spans="1:9" ht="12" customHeight="1">
      <c r="A193" s="63">
        <v>189</v>
      </c>
      <c r="B193" s="63"/>
      <c r="C193" s="64">
        <f t="shared" si="6"/>
        <v>646.43690189398581</v>
      </c>
      <c r="D193" s="64">
        <f t="shared" si="7"/>
        <v>499.35980722311672</v>
      </c>
      <c r="E193" s="64"/>
      <c r="F193" s="64"/>
      <c r="G193" s="64"/>
      <c r="H193" s="65">
        <f t="shared" si="8"/>
        <v>16</v>
      </c>
      <c r="I193" s="60"/>
    </row>
    <row r="194" spans="1:9" ht="12" customHeight="1">
      <c r="A194" s="63">
        <v>190</v>
      </c>
      <c r="B194" s="63"/>
      <c r="C194" s="64">
        <f t="shared" si="6"/>
        <v>648.59169156696589</v>
      </c>
      <c r="D194" s="64">
        <f t="shared" si="7"/>
        <v>497.20501755013686</v>
      </c>
      <c r="E194" s="64"/>
      <c r="F194" s="64"/>
      <c r="G194" s="64"/>
      <c r="H194" s="65">
        <f t="shared" si="8"/>
        <v>16</v>
      </c>
      <c r="I194" s="60"/>
    </row>
    <row r="195" spans="1:9" ht="12" customHeight="1">
      <c r="A195" s="63">
        <v>191</v>
      </c>
      <c r="B195" s="63"/>
      <c r="C195" s="64">
        <f t="shared" si="6"/>
        <v>650.75366387218901</v>
      </c>
      <c r="D195" s="64">
        <f t="shared" si="7"/>
        <v>495.04304524491369</v>
      </c>
      <c r="E195" s="64"/>
      <c r="F195" s="64"/>
      <c r="G195" s="64"/>
      <c r="H195" s="65">
        <f t="shared" si="8"/>
        <v>16</v>
      </c>
      <c r="I195" s="60"/>
    </row>
    <row r="196" spans="1:9" s="82" customFormat="1" ht="12" customHeight="1">
      <c r="A196" s="66">
        <v>192</v>
      </c>
      <c r="B196" s="66"/>
      <c r="C196" s="67">
        <f t="shared" si="6"/>
        <v>652.92284275176303</v>
      </c>
      <c r="D196" s="67">
        <f t="shared" si="7"/>
        <v>492.87386636533972</v>
      </c>
      <c r="E196" s="67">
        <f>C1-SUM(C4:C196)</f>
        <v>147209.23706685015</v>
      </c>
      <c r="F196" s="67">
        <f>SUM(C5:C196)</f>
        <v>92790.762933149847</v>
      </c>
      <c r="G196" s="67">
        <f>SUM(C185:C196)</f>
        <v>7693.4819647369277</v>
      </c>
      <c r="H196" s="68">
        <f t="shared" si="8"/>
        <v>16</v>
      </c>
      <c r="I196" s="81"/>
    </row>
    <row r="197" spans="1:9" ht="12" customHeight="1">
      <c r="A197" s="69">
        <v>193</v>
      </c>
      <c r="B197" s="69"/>
      <c r="C197" s="70">
        <f t="shared" ref="C197:C260" si="9">PPMT(C$2/12,A197,C$3,C$1*-1)</f>
        <v>655.09925222760228</v>
      </c>
      <c r="D197" s="70">
        <f t="shared" ref="D197:D260" si="10">IPMT(C$2/12,A197,C$3,C$1*-1)</f>
        <v>490.69745688950047</v>
      </c>
      <c r="E197" s="70"/>
      <c r="F197" s="70"/>
      <c r="G197" s="70"/>
      <c r="H197" s="71">
        <f t="shared" ref="H197:H260" si="11">ROUNDUP(A197/12,0)</f>
        <v>17</v>
      </c>
      <c r="I197" s="60"/>
    </row>
    <row r="198" spans="1:9" ht="12" customHeight="1">
      <c r="A198" s="69">
        <v>194</v>
      </c>
      <c r="B198" s="69"/>
      <c r="C198" s="70">
        <f t="shared" si="9"/>
        <v>657.28291640169425</v>
      </c>
      <c r="D198" s="70">
        <f t="shared" si="10"/>
        <v>488.5137927154085</v>
      </c>
      <c r="E198" s="70"/>
      <c r="F198" s="70"/>
      <c r="G198" s="70"/>
      <c r="H198" s="71">
        <f t="shared" si="11"/>
        <v>17</v>
      </c>
      <c r="I198" s="60"/>
    </row>
    <row r="199" spans="1:9" ht="12" customHeight="1">
      <c r="A199" s="69">
        <v>195</v>
      </c>
      <c r="B199" s="69"/>
      <c r="C199" s="70">
        <f t="shared" si="9"/>
        <v>659.47385945636643</v>
      </c>
      <c r="D199" s="70">
        <f t="shared" si="10"/>
        <v>486.32284966073621</v>
      </c>
      <c r="E199" s="70"/>
      <c r="F199" s="70"/>
      <c r="G199" s="70"/>
      <c r="H199" s="71">
        <f t="shared" si="11"/>
        <v>17</v>
      </c>
      <c r="I199" s="60"/>
    </row>
    <row r="200" spans="1:9" ht="12" customHeight="1">
      <c r="A200" s="69">
        <v>196</v>
      </c>
      <c r="B200" s="69"/>
      <c r="C200" s="70">
        <f t="shared" si="9"/>
        <v>661.67210565455434</v>
      </c>
      <c r="D200" s="70">
        <f t="shared" si="10"/>
        <v>484.12460346254835</v>
      </c>
      <c r="E200" s="70"/>
      <c r="F200" s="70"/>
      <c r="G200" s="70"/>
      <c r="H200" s="71">
        <f t="shared" si="11"/>
        <v>17</v>
      </c>
      <c r="I200" s="60"/>
    </row>
    <row r="201" spans="1:9" ht="12" customHeight="1">
      <c r="A201" s="69">
        <v>197</v>
      </c>
      <c r="B201" s="69"/>
      <c r="C201" s="70">
        <f t="shared" si="9"/>
        <v>663.87767934006968</v>
      </c>
      <c r="D201" s="70">
        <f t="shared" si="10"/>
        <v>481.91902977703307</v>
      </c>
      <c r="E201" s="70"/>
      <c r="F201" s="70"/>
      <c r="G201" s="70"/>
      <c r="H201" s="71">
        <f t="shared" si="11"/>
        <v>17</v>
      </c>
      <c r="I201" s="60"/>
    </row>
    <row r="202" spans="1:9" ht="12" customHeight="1">
      <c r="A202" s="69">
        <v>198</v>
      </c>
      <c r="B202" s="69"/>
      <c r="C202" s="70">
        <f t="shared" si="9"/>
        <v>666.0906049378699</v>
      </c>
      <c r="D202" s="70">
        <f t="shared" si="10"/>
        <v>479.7061041792328</v>
      </c>
      <c r="E202" s="70"/>
      <c r="F202" s="70"/>
      <c r="G202" s="70"/>
      <c r="H202" s="71">
        <f t="shared" si="11"/>
        <v>17</v>
      </c>
      <c r="I202" s="60"/>
    </row>
    <row r="203" spans="1:9" ht="12" customHeight="1">
      <c r="A203" s="69">
        <v>199</v>
      </c>
      <c r="B203" s="69"/>
      <c r="C203" s="70">
        <f t="shared" si="9"/>
        <v>668.31090695432931</v>
      </c>
      <c r="D203" s="70">
        <f t="shared" si="10"/>
        <v>477.48580216277338</v>
      </c>
      <c r="E203" s="70"/>
      <c r="F203" s="70"/>
      <c r="G203" s="70"/>
      <c r="H203" s="71">
        <f t="shared" si="11"/>
        <v>17</v>
      </c>
      <c r="I203" s="60"/>
    </row>
    <row r="204" spans="1:9" ht="12" customHeight="1">
      <c r="A204" s="69">
        <v>200</v>
      </c>
      <c r="B204" s="69"/>
      <c r="C204" s="70">
        <f t="shared" si="9"/>
        <v>670.53860997751053</v>
      </c>
      <c r="D204" s="70">
        <f t="shared" si="10"/>
        <v>475.25809913959233</v>
      </c>
      <c r="E204" s="70"/>
      <c r="F204" s="70"/>
      <c r="G204" s="70"/>
      <c r="H204" s="71">
        <f t="shared" si="11"/>
        <v>17</v>
      </c>
      <c r="I204" s="60"/>
    </row>
    <row r="205" spans="1:9" ht="12" customHeight="1">
      <c r="A205" s="69">
        <v>201</v>
      </c>
      <c r="B205" s="69"/>
      <c r="C205" s="70">
        <f t="shared" si="9"/>
        <v>672.77373867743552</v>
      </c>
      <c r="D205" s="70">
        <f t="shared" si="10"/>
        <v>473.02297043966712</v>
      </c>
      <c r="E205" s="70"/>
      <c r="F205" s="70"/>
      <c r="G205" s="70"/>
      <c r="H205" s="71">
        <f t="shared" si="11"/>
        <v>17</v>
      </c>
      <c r="I205" s="60"/>
    </row>
    <row r="206" spans="1:9" ht="12" customHeight="1">
      <c r="A206" s="69">
        <v>202</v>
      </c>
      <c r="B206" s="69"/>
      <c r="C206" s="70">
        <f t="shared" si="9"/>
        <v>675.01631780636035</v>
      </c>
      <c r="D206" s="70">
        <f t="shared" si="10"/>
        <v>470.78039131074246</v>
      </c>
      <c r="E206" s="70"/>
      <c r="F206" s="70"/>
      <c r="G206" s="70"/>
      <c r="H206" s="71">
        <f t="shared" si="11"/>
        <v>17</v>
      </c>
      <c r="I206" s="60"/>
    </row>
    <row r="207" spans="1:9" ht="12" customHeight="1">
      <c r="A207" s="69">
        <v>203</v>
      </c>
      <c r="B207" s="69"/>
      <c r="C207" s="70">
        <f t="shared" si="9"/>
        <v>677.26637219904819</v>
      </c>
      <c r="D207" s="70">
        <f t="shared" si="10"/>
        <v>468.53033691805462</v>
      </c>
      <c r="E207" s="70"/>
      <c r="F207" s="70"/>
      <c r="G207" s="70"/>
      <c r="H207" s="71">
        <f t="shared" si="11"/>
        <v>17</v>
      </c>
      <c r="I207" s="60"/>
    </row>
    <row r="208" spans="1:9" s="82" customFormat="1" ht="12" customHeight="1">
      <c r="A208" s="66">
        <v>204</v>
      </c>
      <c r="B208" s="66"/>
      <c r="C208" s="67">
        <f t="shared" si="9"/>
        <v>679.52392677304499</v>
      </c>
      <c r="D208" s="67">
        <f t="shared" si="10"/>
        <v>466.27278234405765</v>
      </c>
      <c r="E208" s="67">
        <f>C1-SUM(C4:C208)</f>
        <v>139202.31077644427</v>
      </c>
      <c r="F208" s="67">
        <f>SUM(C5:C208)</f>
        <v>100797.68922355575</v>
      </c>
      <c r="G208" s="67">
        <f>SUM(C197:C208)</f>
        <v>8006.926290405886</v>
      </c>
      <c r="H208" s="68">
        <f t="shared" si="11"/>
        <v>17</v>
      </c>
      <c r="I208" s="81"/>
    </row>
    <row r="209" spans="1:9" ht="12" customHeight="1">
      <c r="A209" s="63">
        <v>205</v>
      </c>
      <c r="B209" s="63"/>
      <c r="C209" s="64">
        <f t="shared" si="9"/>
        <v>681.78900652895516</v>
      </c>
      <c r="D209" s="64">
        <f t="shared" si="10"/>
        <v>464.00770258814748</v>
      </c>
      <c r="E209" s="64"/>
      <c r="F209" s="64"/>
      <c r="G209" s="64"/>
      <c r="H209" s="65">
        <f t="shared" si="11"/>
        <v>18</v>
      </c>
      <c r="I209" s="60"/>
    </row>
    <row r="210" spans="1:9" ht="12" customHeight="1">
      <c r="A210" s="63">
        <v>206</v>
      </c>
      <c r="B210" s="63"/>
      <c r="C210" s="64">
        <f t="shared" si="9"/>
        <v>684.06163655071839</v>
      </c>
      <c r="D210" s="64">
        <f t="shared" si="10"/>
        <v>461.73507256638425</v>
      </c>
      <c r="E210" s="64"/>
      <c r="F210" s="64"/>
      <c r="G210" s="64"/>
      <c r="H210" s="65">
        <f t="shared" si="11"/>
        <v>18</v>
      </c>
      <c r="I210" s="60"/>
    </row>
    <row r="211" spans="1:9" ht="12" customHeight="1">
      <c r="A211" s="63">
        <v>207</v>
      </c>
      <c r="B211" s="63"/>
      <c r="C211" s="64">
        <f t="shared" si="9"/>
        <v>686.34184200588732</v>
      </c>
      <c r="D211" s="64">
        <f t="shared" si="10"/>
        <v>459.45486711121538</v>
      </c>
      <c r="E211" s="64"/>
      <c r="F211" s="64"/>
      <c r="G211" s="64"/>
      <c r="H211" s="65">
        <f t="shared" si="11"/>
        <v>18</v>
      </c>
      <c r="I211" s="60"/>
    </row>
    <row r="212" spans="1:9" ht="12" customHeight="1">
      <c r="A212" s="63">
        <v>208</v>
      </c>
      <c r="B212" s="63"/>
      <c r="C212" s="64">
        <f t="shared" si="9"/>
        <v>688.62964814590703</v>
      </c>
      <c r="D212" s="64">
        <f t="shared" si="10"/>
        <v>457.16706097119567</v>
      </c>
      <c r="E212" s="64"/>
      <c r="F212" s="64"/>
      <c r="G212" s="64"/>
      <c r="H212" s="65">
        <f t="shared" si="11"/>
        <v>18</v>
      </c>
      <c r="I212" s="60"/>
    </row>
    <row r="213" spans="1:9" ht="12" customHeight="1">
      <c r="A213" s="63">
        <v>209</v>
      </c>
      <c r="B213" s="63"/>
      <c r="C213" s="64">
        <f t="shared" si="9"/>
        <v>690.9250803063934</v>
      </c>
      <c r="D213" s="64">
        <f t="shared" si="10"/>
        <v>454.87162881070935</v>
      </c>
      <c r="E213" s="64"/>
      <c r="F213" s="64"/>
      <c r="G213" s="64"/>
      <c r="H213" s="65">
        <f t="shared" si="11"/>
        <v>18</v>
      </c>
      <c r="I213" s="60"/>
    </row>
    <row r="214" spans="1:9" ht="12" customHeight="1">
      <c r="A214" s="63">
        <v>210</v>
      </c>
      <c r="B214" s="63"/>
      <c r="C214" s="64">
        <f t="shared" si="9"/>
        <v>693.2281639074148</v>
      </c>
      <c r="D214" s="64">
        <f t="shared" si="10"/>
        <v>452.56854520968795</v>
      </c>
      <c r="E214" s="64"/>
      <c r="F214" s="64"/>
      <c r="G214" s="64"/>
      <c r="H214" s="65">
        <f t="shared" si="11"/>
        <v>18</v>
      </c>
      <c r="I214" s="60"/>
    </row>
    <row r="215" spans="1:9" ht="12" customHeight="1">
      <c r="A215" s="63">
        <v>211</v>
      </c>
      <c r="B215" s="63"/>
      <c r="C215" s="64">
        <f t="shared" si="9"/>
        <v>695.53892445377278</v>
      </c>
      <c r="D215" s="64">
        <f t="shared" si="10"/>
        <v>450.25778466332986</v>
      </c>
      <c r="E215" s="64"/>
      <c r="F215" s="64"/>
      <c r="G215" s="64"/>
      <c r="H215" s="65">
        <f t="shared" si="11"/>
        <v>18</v>
      </c>
      <c r="I215" s="60"/>
    </row>
    <row r="216" spans="1:9" ht="12" customHeight="1">
      <c r="A216" s="63">
        <v>212</v>
      </c>
      <c r="B216" s="63"/>
      <c r="C216" s="64">
        <f t="shared" si="9"/>
        <v>697.85738753528528</v>
      </c>
      <c r="D216" s="64">
        <f t="shared" si="10"/>
        <v>447.93932158181735</v>
      </c>
      <c r="E216" s="64"/>
      <c r="F216" s="64"/>
      <c r="G216" s="64"/>
      <c r="H216" s="65">
        <f t="shared" si="11"/>
        <v>18</v>
      </c>
      <c r="I216" s="60"/>
    </row>
    <row r="217" spans="1:9" ht="12" customHeight="1">
      <c r="A217" s="63">
        <v>213</v>
      </c>
      <c r="B217" s="63"/>
      <c r="C217" s="64">
        <f t="shared" si="9"/>
        <v>700.1835788270696</v>
      </c>
      <c r="D217" s="64">
        <f t="shared" si="10"/>
        <v>445.61313029003315</v>
      </c>
      <c r="E217" s="64"/>
      <c r="F217" s="64"/>
      <c r="G217" s="64"/>
      <c r="H217" s="65">
        <f t="shared" si="11"/>
        <v>18</v>
      </c>
      <c r="I217" s="60"/>
    </row>
    <row r="218" spans="1:9" ht="12" customHeight="1">
      <c r="A218" s="63">
        <v>214</v>
      </c>
      <c r="B218" s="63"/>
      <c r="C218" s="64">
        <f t="shared" si="9"/>
        <v>702.51752408982645</v>
      </c>
      <c r="D218" s="64">
        <f t="shared" si="10"/>
        <v>443.27918502727624</v>
      </c>
      <c r="E218" s="64"/>
      <c r="F218" s="64"/>
      <c r="G218" s="64"/>
      <c r="H218" s="65">
        <f t="shared" si="11"/>
        <v>18</v>
      </c>
      <c r="I218" s="60"/>
    </row>
    <row r="219" spans="1:9" ht="12" customHeight="1">
      <c r="A219" s="63">
        <v>215</v>
      </c>
      <c r="B219" s="63"/>
      <c r="C219" s="64">
        <f t="shared" si="9"/>
        <v>704.85924917012596</v>
      </c>
      <c r="D219" s="64">
        <f t="shared" si="10"/>
        <v>440.93745994697679</v>
      </c>
      <c r="E219" s="64"/>
      <c r="F219" s="64"/>
      <c r="G219" s="64"/>
      <c r="H219" s="65">
        <f t="shared" si="11"/>
        <v>18</v>
      </c>
      <c r="I219" s="60"/>
    </row>
    <row r="220" spans="1:9" s="82" customFormat="1" ht="12" customHeight="1">
      <c r="A220" s="66">
        <v>216</v>
      </c>
      <c r="B220" s="66"/>
      <c r="C220" s="67">
        <f t="shared" si="9"/>
        <v>707.20878000069308</v>
      </c>
      <c r="D220" s="67">
        <f t="shared" si="10"/>
        <v>438.58792911640973</v>
      </c>
      <c r="E220" s="67">
        <f>C1-SUM(C4:C220)</f>
        <v>130869.1699549222</v>
      </c>
      <c r="F220" s="67">
        <f>SUM(C5:C220)</f>
        <v>109130.8300450778</v>
      </c>
      <c r="G220" s="67">
        <f>SUM(C209:C220)</f>
        <v>8333.140821522049</v>
      </c>
      <c r="H220" s="68">
        <f t="shared" si="11"/>
        <v>18</v>
      </c>
      <c r="I220" s="81"/>
    </row>
    <row r="221" spans="1:9" ht="12" customHeight="1">
      <c r="A221" s="69">
        <v>217</v>
      </c>
      <c r="B221" s="69"/>
      <c r="C221" s="70">
        <f t="shared" si="9"/>
        <v>709.56614260069523</v>
      </c>
      <c r="D221" s="70">
        <f t="shared" si="10"/>
        <v>436.23056651640741</v>
      </c>
      <c r="E221" s="70"/>
      <c r="F221" s="70"/>
      <c r="G221" s="70"/>
      <c r="H221" s="71">
        <f t="shared" si="11"/>
        <v>19</v>
      </c>
      <c r="I221" s="60"/>
    </row>
    <row r="222" spans="1:9" ht="12" customHeight="1">
      <c r="A222" s="69">
        <v>218</v>
      </c>
      <c r="B222" s="69"/>
      <c r="C222" s="70">
        <f t="shared" si="9"/>
        <v>711.93136307603106</v>
      </c>
      <c r="D222" s="70">
        <f t="shared" si="10"/>
        <v>433.8653460410718</v>
      </c>
      <c r="E222" s="70"/>
      <c r="F222" s="70"/>
      <c r="G222" s="70"/>
      <c r="H222" s="71">
        <f t="shared" si="11"/>
        <v>19</v>
      </c>
      <c r="I222" s="60"/>
    </row>
    <row r="223" spans="1:9" ht="12" customHeight="1">
      <c r="A223" s="69">
        <v>219</v>
      </c>
      <c r="B223" s="69"/>
      <c r="C223" s="70">
        <f t="shared" si="9"/>
        <v>714.30446761961775</v>
      </c>
      <c r="D223" s="70">
        <f t="shared" si="10"/>
        <v>431.492241497485</v>
      </c>
      <c r="E223" s="70"/>
      <c r="F223" s="70"/>
      <c r="G223" s="70"/>
      <c r="H223" s="71">
        <f t="shared" si="11"/>
        <v>19</v>
      </c>
      <c r="I223" s="60"/>
    </row>
    <row r="224" spans="1:9" ht="12" customHeight="1">
      <c r="A224" s="69">
        <v>220</v>
      </c>
      <c r="B224" s="69"/>
      <c r="C224" s="70">
        <f t="shared" si="9"/>
        <v>716.68548251168318</v>
      </c>
      <c r="D224" s="70">
        <f t="shared" si="10"/>
        <v>429.11122660541957</v>
      </c>
      <c r="E224" s="70"/>
      <c r="F224" s="70"/>
      <c r="G224" s="70"/>
      <c r="H224" s="71">
        <f t="shared" si="11"/>
        <v>19</v>
      </c>
      <c r="I224" s="60"/>
    </row>
    <row r="225" spans="1:9" ht="12" customHeight="1">
      <c r="A225" s="69">
        <v>221</v>
      </c>
      <c r="B225" s="69"/>
      <c r="C225" s="70">
        <f t="shared" si="9"/>
        <v>719.07443412005534</v>
      </c>
      <c r="D225" s="70">
        <f t="shared" si="10"/>
        <v>426.72227499704729</v>
      </c>
      <c r="E225" s="70"/>
      <c r="F225" s="70"/>
      <c r="G225" s="70"/>
      <c r="H225" s="71">
        <f t="shared" si="11"/>
        <v>19</v>
      </c>
      <c r="I225" s="60"/>
    </row>
    <row r="226" spans="1:9" ht="12" customHeight="1">
      <c r="A226" s="69">
        <v>222</v>
      </c>
      <c r="B226" s="69"/>
      <c r="C226" s="70">
        <f t="shared" si="9"/>
        <v>721.47134890045572</v>
      </c>
      <c r="D226" s="70">
        <f t="shared" si="10"/>
        <v>424.32536021664714</v>
      </c>
      <c r="E226" s="70"/>
      <c r="F226" s="70"/>
      <c r="G226" s="70"/>
      <c r="H226" s="71">
        <f t="shared" si="11"/>
        <v>19</v>
      </c>
      <c r="I226" s="60"/>
    </row>
    <row r="227" spans="1:9" ht="12" customHeight="1">
      <c r="A227" s="69">
        <v>223</v>
      </c>
      <c r="B227" s="69"/>
      <c r="C227" s="70">
        <f t="shared" si="9"/>
        <v>723.8762533967905</v>
      </c>
      <c r="D227" s="70">
        <f t="shared" si="10"/>
        <v>421.92045572031225</v>
      </c>
      <c r="E227" s="70"/>
      <c r="F227" s="70"/>
      <c r="G227" s="70"/>
      <c r="H227" s="71">
        <f t="shared" si="11"/>
        <v>19</v>
      </c>
      <c r="I227" s="60"/>
    </row>
    <row r="228" spans="1:9" ht="12" customHeight="1">
      <c r="A228" s="69">
        <v>224</v>
      </c>
      <c r="B228" s="69"/>
      <c r="C228" s="70">
        <f t="shared" si="9"/>
        <v>726.2891742414464</v>
      </c>
      <c r="D228" s="70">
        <f t="shared" si="10"/>
        <v>419.50753487565623</v>
      </c>
      <c r="E228" s="70"/>
      <c r="F228" s="70"/>
      <c r="G228" s="70"/>
      <c r="H228" s="71">
        <f t="shared" si="11"/>
        <v>19</v>
      </c>
      <c r="I228" s="60"/>
    </row>
    <row r="229" spans="1:9" ht="12" customHeight="1">
      <c r="A229" s="69">
        <v>225</v>
      </c>
      <c r="B229" s="69"/>
      <c r="C229" s="70">
        <f t="shared" si="9"/>
        <v>728.71013815558467</v>
      </c>
      <c r="D229" s="70">
        <f t="shared" si="10"/>
        <v>417.08657096151813</v>
      </c>
      <c r="E229" s="70"/>
      <c r="F229" s="70"/>
      <c r="G229" s="70"/>
      <c r="H229" s="71">
        <f t="shared" si="11"/>
        <v>19</v>
      </c>
      <c r="I229" s="60"/>
    </row>
    <row r="230" spans="1:9" ht="12" customHeight="1">
      <c r="A230" s="69">
        <v>226</v>
      </c>
      <c r="B230" s="69"/>
      <c r="C230" s="70">
        <f t="shared" si="9"/>
        <v>731.13917194943656</v>
      </c>
      <c r="D230" s="70">
        <f t="shared" si="10"/>
        <v>414.65753716766619</v>
      </c>
      <c r="E230" s="70"/>
      <c r="F230" s="70"/>
      <c r="G230" s="70"/>
      <c r="H230" s="71">
        <f t="shared" si="11"/>
        <v>19</v>
      </c>
      <c r="I230" s="60"/>
    </row>
    <row r="231" spans="1:9" ht="12" customHeight="1">
      <c r="A231" s="69">
        <v>227</v>
      </c>
      <c r="B231" s="69"/>
      <c r="C231" s="70">
        <f t="shared" si="9"/>
        <v>733.5763025226014</v>
      </c>
      <c r="D231" s="70">
        <f t="shared" si="10"/>
        <v>412.22040659450141</v>
      </c>
      <c r="E231" s="70"/>
      <c r="F231" s="70"/>
      <c r="G231" s="70"/>
      <c r="H231" s="71">
        <f t="shared" si="11"/>
        <v>19</v>
      </c>
      <c r="I231" s="60"/>
    </row>
    <row r="232" spans="1:9" s="82" customFormat="1" ht="12" customHeight="1">
      <c r="A232" s="66">
        <v>228</v>
      </c>
      <c r="B232" s="66"/>
      <c r="C232" s="67">
        <f t="shared" si="9"/>
        <v>736.02155686434332</v>
      </c>
      <c r="D232" s="67">
        <f t="shared" si="10"/>
        <v>409.77515225275937</v>
      </c>
      <c r="E232" s="67">
        <f>C1-SUM(C4:C232)</f>
        <v>122196.52411896343</v>
      </c>
      <c r="F232" s="67">
        <f>SUM(C5:C232)</f>
        <v>117803.47588103657</v>
      </c>
      <c r="G232" s="67">
        <f>SUM(C221:C232)</f>
        <v>8672.6458359587414</v>
      </c>
      <c r="H232" s="68">
        <f t="shared" si="11"/>
        <v>19</v>
      </c>
      <c r="I232" s="81"/>
    </row>
    <row r="233" spans="1:9" ht="12" customHeight="1">
      <c r="A233" s="63">
        <v>229</v>
      </c>
      <c r="B233" s="63"/>
      <c r="C233" s="64">
        <f t="shared" si="9"/>
        <v>738.4749620538912</v>
      </c>
      <c r="D233" s="64">
        <f t="shared" si="10"/>
        <v>407.3217470632116</v>
      </c>
      <c r="E233" s="64"/>
      <c r="F233" s="64"/>
      <c r="G233" s="64"/>
      <c r="H233" s="65">
        <f t="shared" si="11"/>
        <v>20</v>
      </c>
      <c r="I233" s="60"/>
    </row>
    <row r="234" spans="1:9" ht="12" customHeight="1">
      <c r="A234" s="63">
        <v>230</v>
      </c>
      <c r="B234" s="63"/>
      <c r="C234" s="64">
        <f t="shared" si="9"/>
        <v>740.93654526073749</v>
      </c>
      <c r="D234" s="64">
        <f t="shared" si="10"/>
        <v>404.8601638563652</v>
      </c>
      <c r="E234" s="64"/>
      <c r="F234" s="64"/>
      <c r="G234" s="64"/>
      <c r="H234" s="65">
        <f t="shared" si="11"/>
        <v>20</v>
      </c>
      <c r="I234" s="60"/>
    </row>
    <row r="235" spans="1:9" ht="12" customHeight="1">
      <c r="A235" s="63">
        <v>231</v>
      </c>
      <c r="B235" s="63"/>
      <c r="C235" s="64">
        <f t="shared" si="9"/>
        <v>743.40633374493996</v>
      </c>
      <c r="D235" s="64">
        <f t="shared" si="10"/>
        <v>402.39037537216279</v>
      </c>
      <c r="E235" s="64"/>
      <c r="F235" s="64"/>
      <c r="G235" s="64"/>
      <c r="H235" s="65">
        <f t="shared" si="11"/>
        <v>20</v>
      </c>
      <c r="I235" s="60"/>
    </row>
    <row r="236" spans="1:9" ht="12" customHeight="1">
      <c r="A236" s="63">
        <v>232</v>
      </c>
      <c r="B236" s="63"/>
      <c r="C236" s="64">
        <f t="shared" si="9"/>
        <v>745.88435485742309</v>
      </c>
      <c r="D236" s="64">
        <f t="shared" si="10"/>
        <v>399.91235425967966</v>
      </c>
      <c r="E236" s="64"/>
      <c r="F236" s="64"/>
      <c r="G236" s="64"/>
      <c r="H236" s="65">
        <f t="shared" si="11"/>
        <v>20</v>
      </c>
      <c r="I236" s="60"/>
    </row>
    <row r="237" spans="1:9" ht="12" customHeight="1">
      <c r="A237" s="63">
        <v>233</v>
      </c>
      <c r="B237" s="63"/>
      <c r="C237" s="64">
        <f t="shared" si="9"/>
        <v>748.37063604028117</v>
      </c>
      <c r="D237" s="64">
        <f t="shared" si="10"/>
        <v>397.42607307682164</v>
      </c>
      <c r="E237" s="64"/>
      <c r="F237" s="64"/>
      <c r="G237" s="64"/>
      <c r="H237" s="65">
        <f t="shared" si="11"/>
        <v>20</v>
      </c>
      <c r="I237" s="60"/>
    </row>
    <row r="238" spans="1:9" ht="12" customHeight="1">
      <c r="A238" s="63">
        <v>234</v>
      </c>
      <c r="B238" s="63"/>
      <c r="C238" s="64">
        <f t="shared" si="9"/>
        <v>750.86520482708204</v>
      </c>
      <c r="D238" s="64">
        <f t="shared" si="10"/>
        <v>394.93150429002077</v>
      </c>
      <c r="E238" s="64"/>
      <c r="F238" s="64"/>
      <c r="G238" s="64"/>
      <c r="H238" s="65">
        <f t="shared" si="11"/>
        <v>20</v>
      </c>
      <c r="I238" s="60"/>
    </row>
    <row r="239" spans="1:9" ht="12" customHeight="1">
      <c r="A239" s="63">
        <v>235</v>
      </c>
      <c r="B239" s="63"/>
      <c r="C239" s="64">
        <f t="shared" si="9"/>
        <v>753.36808884317225</v>
      </c>
      <c r="D239" s="64">
        <f t="shared" si="10"/>
        <v>392.42862027393033</v>
      </c>
      <c r="E239" s="64"/>
      <c r="F239" s="64"/>
      <c r="G239" s="64"/>
      <c r="H239" s="65">
        <f t="shared" si="11"/>
        <v>20</v>
      </c>
      <c r="I239" s="60"/>
    </row>
    <row r="240" spans="1:9" ht="12" customHeight="1">
      <c r="A240" s="63">
        <v>236</v>
      </c>
      <c r="B240" s="63"/>
      <c r="C240" s="64">
        <f t="shared" si="9"/>
        <v>755.87931580598286</v>
      </c>
      <c r="D240" s="64">
        <f t="shared" si="10"/>
        <v>389.91739331111989</v>
      </c>
      <c r="E240" s="64"/>
      <c r="F240" s="64"/>
      <c r="G240" s="64"/>
      <c r="H240" s="65">
        <f t="shared" si="11"/>
        <v>20</v>
      </c>
      <c r="I240" s="60"/>
    </row>
    <row r="241" spans="1:9" ht="12" customHeight="1">
      <c r="A241" s="63">
        <v>237</v>
      </c>
      <c r="B241" s="63"/>
      <c r="C241" s="64">
        <f t="shared" si="9"/>
        <v>758.39891352533607</v>
      </c>
      <c r="D241" s="64">
        <f t="shared" si="10"/>
        <v>387.39779559176657</v>
      </c>
      <c r="E241" s="64"/>
      <c r="F241" s="64"/>
      <c r="G241" s="64"/>
      <c r="H241" s="65">
        <f t="shared" si="11"/>
        <v>20</v>
      </c>
      <c r="I241" s="60"/>
    </row>
    <row r="242" spans="1:9" ht="12" customHeight="1">
      <c r="A242" s="63">
        <v>238</v>
      </c>
      <c r="B242" s="63"/>
      <c r="C242" s="64">
        <f t="shared" si="9"/>
        <v>760.92690990375388</v>
      </c>
      <c r="D242" s="64">
        <f t="shared" si="10"/>
        <v>384.86979921334876</v>
      </c>
      <c r="E242" s="64"/>
      <c r="F242" s="64"/>
      <c r="G242" s="64"/>
      <c r="H242" s="65">
        <f t="shared" si="11"/>
        <v>20</v>
      </c>
      <c r="I242" s="60"/>
    </row>
    <row r="243" spans="1:9" ht="12" customHeight="1">
      <c r="A243" s="63">
        <v>239</v>
      </c>
      <c r="B243" s="63"/>
      <c r="C243" s="64">
        <f t="shared" si="9"/>
        <v>763.46333293676651</v>
      </c>
      <c r="D243" s="64">
        <f t="shared" si="10"/>
        <v>382.33337618033624</v>
      </c>
      <c r="E243" s="64"/>
      <c r="F243" s="64"/>
      <c r="G243" s="64"/>
      <c r="H243" s="65">
        <f t="shared" si="11"/>
        <v>20</v>
      </c>
      <c r="I243" s="60"/>
    </row>
    <row r="244" spans="1:9" s="82" customFormat="1" ht="12" customHeight="1">
      <c r="A244" s="66">
        <v>240</v>
      </c>
      <c r="B244" s="66"/>
      <c r="C244" s="67">
        <f t="shared" si="9"/>
        <v>766.0082107132223</v>
      </c>
      <c r="D244" s="67">
        <f t="shared" si="10"/>
        <v>379.78849840388034</v>
      </c>
      <c r="E244" s="67">
        <f>C1-SUM(C4:C244)</f>
        <v>113170.54131045085</v>
      </c>
      <c r="F244" s="67">
        <f>SUM(C5:C244)</f>
        <v>126829.45868954915</v>
      </c>
      <c r="G244" s="67">
        <f>SUM(C233:C244)</f>
        <v>9025.9828085125882</v>
      </c>
      <c r="H244" s="68">
        <f t="shared" si="11"/>
        <v>20</v>
      </c>
      <c r="I244" s="81"/>
    </row>
    <row r="245" spans="1:9" ht="12" customHeight="1">
      <c r="A245" s="69">
        <v>241</v>
      </c>
      <c r="B245" s="69"/>
      <c r="C245" s="70">
        <f t="shared" si="9"/>
        <v>768.5615714155997</v>
      </c>
      <c r="D245" s="70">
        <f t="shared" si="10"/>
        <v>377.23513770150294</v>
      </c>
      <c r="E245" s="70"/>
      <c r="F245" s="70"/>
      <c r="G245" s="70"/>
      <c r="H245" s="71">
        <f t="shared" si="11"/>
        <v>21</v>
      </c>
      <c r="I245" s="60"/>
    </row>
    <row r="246" spans="1:9" ht="12" customHeight="1">
      <c r="A246" s="69">
        <v>242</v>
      </c>
      <c r="B246" s="69"/>
      <c r="C246" s="70">
        <f t="shared" si="9"/>
        <v>771.12344332031842</v>
      </c>
      <c r="D246" s="70">
        <f t="shared" si="10"/>
        <v>374.67326579678428</v>
      </c>
      <c r="E246" s="70"/>
      <c r="F246" s="70"/>
      <c r="G246" s="70"/>
      <c r="H246" s="71">
        <f t="shared" si="11"/>
        <v>21</v>
      </c>
      <c r="I246" s="60"/>
    </row>
    <row r="247" spans="1:9" ht="12" customHeight="1">
      <c r="A247" s="69">
        <v>243</v>
      </c>
      <c r="B247" s="69"/>
      <c r="C247" s="70">
        <f t="shared" si="9"/>
        <v>773.69385479805283</v>
      </c>
      <c r="D247" s="70">
        <f t="shared" si="10"/>
        <v>372.10285431904987</v>
      </c>
      <c r="E247" s="70"/>
      <c r="F247" s="70"/>
      <c r="G247" s="70"/>
      <c r="H247" s="71">
        <f t="shared" si="11"/>
        <v>21</v>
      </c>
      <c r="I247" s="60"/>
    </row>
    <row r="248" spans="1:9" ht="12" customHeight="1">
      <c r="A248" s="69">
        <v>244</v>
      </c>
      <c r="B248" s="69"/>
      <c r="C248" s="70">
        <f t="shared" si="9"/>
        <v>776.27283431404635</v>
      </c>
      <c r="D248" s="70">
        <f t="shared" si="10"/>
        <v>369.52387480305634</v>
      </c>
      <c r="E248" s="70"/>
      <c r="F248" s="70"/>
      <c r="G248" s="70"/>
      <c r="H248" s="71">
        <f t="shared" si="11"/>
        <v>21</v>
      </c>
      <c r="I248" s="60"/>
    </row>
    <row r="249" spans="1:9" ht="12" customHeight="1">
      <c r="A249" s="69">
        <v>245</v>
      </c>
      <c r="B249" s="69"/>
      <c r="C249" s="70">
        <f t="shared" si="9"/>
        <v>778.86041042842658</v>
      </c>
      <c r="D249" s="70">
        <f t="shared" si="10"/>
        <v>366.93629868867617</v>
      </c>
      <c r="E249" s="70"/>
      <c r="F249" s="70"/>
      <c r="G249" s="70"/>
      <c r="H249" s="71">
        <f t="shared" si="11"/>
        <v>21</v>
      </c>
      <c r="I249" s="60"/>
    </row>
    <row r="250" spans="1:9" ht="12" customHeight="1">
      <c r="A250" s="69">
        <v>246</v>
      </c>
      <c r="B250" s="69"/>
      <c r="C250" s="70">
        <f t="shared" si="9"/>
        <v>781.4566117965212</v>
      </c>
      <c r="D250" s="70">
        <f t="shared" si="10"/>
        <v>364.34009732058149</v>
      </c>
      <c r="E250" s="70"/>
      <c r="F250" s="70"/>
      <c r="G250" s="70"/>
      <c r="H250" s="71">
        <f t="shared" si="11"/>
        <v>21</v>
      </c>
      <c r="I250" s="60"/>
    </row>
    <row r="251" spans="1:9" ht="12" customHeight="1">
      <c r="A251" s="69">
        <v>247</v>
      </c>
      <c r="B251" s="69"/>
      <c r="C251" s="70">
        <f t="shared" si="9"/>
        <v>784.06146716917624</v>
      </c>
      <c r="D251" s="70">
        <f t="shared" si="10"/>
        <v>361.7352419479264</v>
      </c>
      <c r="E251" s="70"/>
      <c r="F251" s="70"/>
      <c r="G251" s="70"/>
      <c r="H251" s="71">
        <f t="shared" si="11"/>
        <v>21</v>
      </c>
      <c r="I251" s="60"/>
    </row>
    <row r="252" spans="1:9" ht="12" customHeight="1">
      <c r="A252" s="69">
        <v>248</v>
      </c>
      <c r="B252" s="69"/>
      <c r="C252" s="70">
        <f t="shared" si="9"/>
        <v>786.67500539307355</v>
      </c>
      <c r="D252" s="70">
        <f t="shared" si="10"/>
        <v>359.12170372402915</v>
      </c>
      <c r="E252" s="70"/>
      <c r="F252" s="70"/>
      <c r="G252" s="70"/>
      <c r="H252" s="71">
        <f t="shared" si="11"/>
        <v>21</v>
      </c>
      <c r="I252" s="60"/>
    </row>
    <row r="253" spans="1:9" ht="12" customHeight="1">
      <c r="A253" s="69">
        <v>249</v>
      </c>
      <c r="B253" s="69"/>
      <c r="C253" s="70">
        <f t="shared" si="9"/>
        <v>789.29725541105051</v>
      </c>
      <c r="D253" s="70">
        <f t="shared" si="10"/>
        <v>356.49945370605224</v>
      </c>
      <c r="E253" s="70"/>
      <c r="F253" s="70"/>
      <c r="G253" s="70"/>
      <c r="H253" s="71">
        <f t="shared" si="11"/>
        <v>21</v>
      </c>
      <c r="I253" s="60"/>
    </row>
    <row r="254" spans="1:9" ht="12" customHeight="1">
      <c r="A254" s="69">
        <v>250</v>
      </c>
      <c r="B254" s="69"/>
      <c r="C254" s="70">
        <f t="shared" si="9"/>
        <v>791.92824626242054</v>
      </c>
      <c r="D254" s="70">
        <f t="shared" si="10"/>
        <v>353.86846285468204</v>
      </c>
      <c r="E254" s="70"/>
      <c r="F254" s="70"/>
      <c r="G254" s="70"/>
      <c r="H254" s="71">
        <f t="shared" si="11"/>
        <v>21</v>
      </c>
      <c r="I254" s="60"/>
    </row>
    <row r="255" spans="1:9" ht="12" customHeight="1">
      <c r="A255" s="69">
        <v>251</v>
      </c>
      <c r="B255" s="69"/>
      <c r="C255" s="70">
        <f t="shared" si="9"/>
        <v>794.56800708329547</v>
      </c>
      <c r="D255" s="70">
        <f t="shared" si="10"/>
        <v>351.22870203380734</v>
      </c>
      <c r="E255" s="70"/>
      <c r="F255" s="70"/>
      <c r="G255" s="70"/>
      <c r="H255" s="71">
        <f t="shared" si="11"/>
        <v>21</v>
      </c>
      <c r="I255" s="60"/>
    </row>
    <row r="256" spans="1:9" s="82" customFormat="1" ht="12" customHeight="1">
      <c r="A256" s="66">
        <v>252</v>
      </c>
      <c r="B256" s="66"/>
      <c r="C256" s="67">
        <f t="shared" si="9"/>
        <v>797.21656710690638</v>
      </c>
      <c r="D256" s="67">
        <f t="shared" si="10"/>
        <v>348.58014201019637</v>
      </c>
      <c r="E256" s="67">
        <f>C1-SUM(C4:C256)</f>
        <v>103776.82603595196</v>
      </c>
      <c r="F256" s="67">
        <f>SUM(C5:C256)</f>
        <v>136223.17396404804</v>
      </c>
      <c r="G256" s="67">
        <f>SUM(C245:C256)</f>
        <v>9393.7152744988889</v>
      </c>
      <c r="H256" s="68">
        <f t="shared" si="11"/>
        <v>21</v>
      </c>
      <c r="I256" s="81"/>
    </row>
    <row r="257" spans="1:9" ht="12" customHeight="1">
      <c r="A257" s="63">
        <v>253</v>
      </c>
      <c r="B257" s="63"/>
      <c r="C257" s="64">
        <f t="shared" si="9"/>
        <v>799.87395566392934</v>
      </c>
      <c r="D257" s="64">
        <f t="shared" si="10"/>
        <v>345.9227534531733</v>
      </c>
      <c r="E257" s="64"/>
      <c r="F257" s="64"/>
      <c r="G257" s="64"/>
      <c r="H257" s="65">
        <f t="shared" si="11"/>
        <v>22</v>
      </c>
      <c r="I257" s="60"/>
    </row>
    <row r="258" spans="1:9" ht="12" customHeight="1">
      <c r="A258" s="63">
        <v>254</v>
      </c>
      <c r="B258" s="63"/>
      <c r="C258" s="64">
        <f t="shared" si="9"/>
        <v>802.54020218280914</v>
      </c>
      <c r="D258" s="64">
        <f t="shared" si="10"/>
        <v>343.2565069342935</v>
      </c>
      <c r="E258" s="64"/>
      <c r="F258" s="64"/>
      <c r="G258" s="64"/>
      <c r="H258" s="65">
        <f t="shared" si="11"/>
        <v>22</v>
      </c>
      <c r="I258" s="60"/>
    </row>
    <row r="259" spans="1:9" ht="12" customHeight="1">
      <c r="A259" s="63">
        <v>255</v>
      </c>
      <c r="B259" s="63"/>
      <c r="C259" s="64">
        <f t="shared" si="9"/>
        <v>805.21533619008517</v>
      </c>
      <c r="D259" s="64">
        <f t="shared" si="10"/>
        <v>340.58137292701753</v>
      </c>
      <c r="E259" s="64"/>
      <c r="F259" s="64"/>
      <c r="G259" s="64"/>
      <c r="H259" s="65">
        <f t="shared" si="11"/>
        <v>22</v>
      </c>
      <c r="I259" s="60"/>
    </row>
    <row r="260" spans="1:9" ht="12" customHeight="1">
      <c r="A260" s="63">
        <v>256</v>
      </c>
      <c r="B260" s="63"/>
      <c r="C260" s="64">
        <f t="shared" si="9"/>
        <v>807.89938731071879</v>
      </c>
      <c r="D260" s="64">
        <f t="shared" si="10"/>
        <v>337.8973218063839</v>
      </c>
      <c r="E260" s="64"/>
      <c r="F260" s="64"/>
      <c r="G260" s="64"/>
      <c r="H260" s="65">
        <f t="shared" si="11"/>
        <v>22</v>
      </c>
      <c r="I260" s="60"/>
    </row>
    <row r="261" spans="1:9" ht="12" customHeight="1">
      <c r="A261" s="63">
        <v>257</v>
      </c>
      <c r="B261" s="63"/>
      <c r="C261" s="64">
        <f t="shared" ref="C261:C324" si="12">PPMT(C$2/12,A261,C$3,C$1*-1)</f>
        <v>810.59238526842114</v>
      </c>
      <c r="D261" s="64">
        <f t="shared" ref="D261:D324" si="13">IPMT(C$2/12,A261,C$3,C$1*-1)</f>
        <v>335.20432384868155</v>
      </c>
      <c r="E261" s="64"/>
      <c r="F261" s="64"/>
      <c r="G261" s="64"/>
      <c r="H261" s="65">
        <f t="shared" ref="H261:H324" si="14">ROUNDUP(A261/12,0)</f>
        <v>22</v>
      </c>
      <c r="I261" s="60"/>
    </row>
    <row r="262" spans="1:9" ht="12" customHeight="1">
      <c r="A262" s="63">
        <v>258</v>
      </c>
      <c r="B262" s="63"/>
      <c r="C262" s="64">
        <f t="shared" si="12"/>
        <v>813.29435988598254</v>
      </c>
      <c r="D262" s="64">
        <f t="shared" si="13"/>
        <v>332.50234923112009</v>
      </c>
      <c r="E262" s="64"/>
      <c r="F262" s="64"/>
      <c r="G262" s="64"/>
      <c r="H262" s="65">
        <f t="shared" si="14"/>
        <v>22</v>
      </c>
      <c r="I262" s="60"/>
    </row>
    <row r="263" spans="1:9" ht="12" customHeight="1">
      <c r="A263" s="63">
        <v>259</v>
      </c>
      <c r="B263" s="63"/>
      <c r="C263" s="64">
        <f t="shared" si="12"/>
        <v>816.00534108560259</v>
      </c>
      <c r="D263" s="64">
        <f t="shared" si="13"/>
        <v>329.79136803150021</v>
      </c>
      <c r="E263" s="64"/>
      <c r="F263" s="64"/>
      <c r="G263" s="64"/>
      <c r="H263" s="65">
        <f t="shared" si="14"/>
        <v>22</v>
      </c>
      <c r="I263" s="60"/>
    </row>
    <row r="264" spans="1:9" ht="12" customHeight="1">
      <c r="A264" s="63">
        <v>260</v>
      </c>
      <c r="B264" s="63"/>
      <c r="C264" s="64">
        <f t="shared" si="12"/>
        <v>818.7253588892213</v>
      </c>
      <c r="D264" s="64">
        <f t="shared" si="13"/>
        <v>327.07135022788145</v>
      </c>
      <c r="E264" s="64"/>
      <c r="F264" s="64"/>
      <c r="G264" s="64"/>
      <c r="H264" s="65">
        <f t="shared" si="14"/>
        <v>22</v>
      </c>
      <c r="I264" s="60"/>
    </row>
    <row r="265" spans="1:9" ht="12" customHeight="1">
      <c r="A265" s="63">
        <v>261</v>
      </c>
      <c r="B265" s="63"/>
      <c r="C265" s="64">
        <f t="shared" si="12"/>
        <v>821.45444341885207</v>
      </c>
      <c r="D265" s="64">
        <f t="shared" si="13"/>
        <v>324.3422656982508</v>
      </c>
      <c r="E265" s="64"/>
      <c r="F265" s="64"/>
      <c r="G265" s="64"/>
      <c r="H265" s="65">
        <f t="shared" si="14"/>
        <v>22</v>
      </c>
      <c r="I265" s="60"/>
    </row>
    <row r="266" spans="1:9" ht="12" customHeight="1">
      <c r="A266" s="63">
        <v>262</v>
      </c>
      <c r="B266" s="63"/>
      <c r="C266" s="64">
        <f t="shared" si="12"/>
        <v>824.19262489691494</v>
      </c>
      <c r="D266" s="64">
        <f t="shared" si="13"/>
        <v>321.60408422018793</v>
      </c>
      <c r="E266" s="64"/>
      <c r="F266" s="64"/>
      <c r="G266" s="64"/>
      <c r="H266" s="65">
        <f t="shared" si="14"/>
        <v>22</v>
      </c>
      <c r="I266" s="60"/>
    </row>
    <row r="267" spans="1:9" ht="12" customHeight="1">
      <c r="A267" s="63">
        <v>263</v>
      </c>
      <c r="B267" s="63"/>
      <c r="C267" s="64">
        <f t="shared" si="12"/>
        <v>826.93993364657126</v>
      </c>
      <c r="D267" s="64">
        <f t="shared" si="13"/>
        <v>318.85677547053155</v>
      </c>
      <c r="E267" s="64"/>
      <c r="F267" s="64"/>
      <c r="G267" s="64"/>
      <c r="H267" s="65">
        <f t="shared" si="14"/>
        <v>22</v>
      </c>
      <c r="I267" s="60"/>
    </row>
    <row r="268" spans="1:9" s="82" customFormat="1" ht="12" customHeight="1">
      <c r="A268" s="66">
        <v>264</v>
      </c>
      <c r="B268" s="66"/>
      <c r="C268" s="67">
        <f t="shared" si="12"/>
        <v>829.69640009205978</v>
      </c>
      <c r="D268" s="67">
        <f t="shared" si="13"/>
        <v>316.10030902504292</v>
      </c>
      <c r="E268" s="67">
        <f>C1-SUM(C4:C268)</f>
        <v>94000.3963074208</v>
      </c>
      <c r="F268" s="67">
        <f>SUM(C5:C268)</f>
        <v>145999.6036925792</v>
      </c>
      <c r="G268" s="67">
        <f>SUM(C257:C268)</f>
        <v>9776.4297285311677</v>
      </c>
      <c r="H268" s="68">
        <f t="shared" si="14"/>
        <v>22</v>
      </c>
      <c r="I268" s="81"/>
    </row>
    <row r="269" spans="1:9" ht="12" customHeight="1">
      <c r="A269" s="69">
        <v>265</v>
      </c>
      <c r="B269" s="69"/>
      <c r="C269" s="70">
        <f t="shared" si="12"/>
        <v>832.46205475903321</v>
      </c>
      <c r="D269" s="70">
        <f t="shared" si="13"/>
        <v>313.33465435806943</v>
      </c>
      <c r="E269" s="70"/>
      <c r="F269" s="70"/>
      <c r="G269" s="70"/>
      <c r="H269" s="71">
        <f t="shared" si="14"/>
        <v>23</v>
      </c>
      <c r="I269" s="60"/>
    </row>
    <row r="270" spans="1:9" ht="12" customHeight="1">
      <c r="A270" s="69">
        <v>266</v>
      </c>
      <c r="B270" s="69"/>
      <c r="C270" s="70">
        <f t="shared" si="12"/>
        <v>835.23692827489674</v>
      </c>
      <c r="D270" s="70">
        <f t="shared" si="13"/>
        <v>310.55978084220595</v>
      </c>
      <c r="E270" s="70"/>
      <c r="F270" s="70"/>
      <c r="G270" s="70"/>
      <c r="H270" s="71">
        <f t="shared" si="14"/>
        <v>23</v>
      </c>
      <c r="I270" s="60"/>
    </row>
    <row r="271" spans="1:9" ht="12" customHeight="1">
      <c r="A271" s="69">
        <v>267</v>
      </c>
      <c r="B271" s="69"/>
      <c r="C271" s="70">
        <f t="shared" si="12"/>
        <v>838.02105136914645</v>
      </c>
      <c r="D271" s="70">
        <f t="shared" si="13"/>
        <v>307.77565774795636</v>
      </c>
      <c r="E271" s="70"/>
      <c r="F271" s="70"/>
      <c r="G271" s="70"/>
      <c r="H271" s="71">
        <f t="shared" si="14"/>
        <v>23</v>
      </c>
      <c r="I271" s="60"/>
    </row>
    <row r="272" spans="1:9" ht="12" customHeight="1">
      <c r="A272" s="69">
        <v>268</v>
      </c>
      <c r="B272" s="69"/>
      <c r="C272" s="70">
        <f t="shared" si="12"/>
        <v>840.81445487371025</v>
      </c>
      <c r="D272" s="70">
        <f t="shared" si="13"/>
        <v>304.98225424339245</v>
      </c>
      <c r="E272" s="70"/>
      <c r="F272" s="70"/>
      <c r="G272" s="70"/>
      <c r="H272" s="71">
        <f t="shared" si="14"/>
        <v>23</v>
      </c>
      <c r="I272" s="60"/>
    </row>
    <row r="273" spans="1:9" ht="12" customHeight="1">
      <c r="A273" s="69">
        <v>269</v>
      </c>
      <c r="B273" s="69"/>
      <c r="C273" s="70">
        <f t="shared" si="12"/>
        <v>843.61716972328918</v>
      </c>
      <c r="D273" s="70">
        <f t="shared" si="13"/>
        <v>302.17953939381351</v>
      </c>
      <c r="E273" s="70"/>
      <c r="F273" s="70"/>
      <c r="G273" s="70"/>
      <c r="H273" s="71">
        <f t="shared" si="14"/>
        <v>23</v>
      </c>
      <c r="I273" s="60"/>
    </row>
    <row r="274" spans="1:9" ht="12" customHeight="1">
      <c r="A274" s="69">
        <v>270</v>
      </c>
      <c r="B274" s="69"/>
      <c r="C274" s="70">
        <f t="shared" si="12"/>
        <v>846.42922695570019</v>
      </c>
      <c r="D274" s="70">
        <f t="shared" si="13"/>
        <v>299.36748216140245</v>
      </c>
      <c r="E274" s="70"/>
      <c r="F274" s="70"/>
      <c r="G274" s="70"/>
      <c r="H274" s="71">
        <f t="shared" si="14"/>
        <v>23</v>
      </c>
      <c r="I274" s="60"/>
    </row>
    <row r="275" spans="1:9" ht="12" customHeight="1">
      <c r="A275" s="69">
        <v>271</v>
      </c>
      <c r="B275" s="69"/>
      <c r="C275" s="70">
        <f t="shared" si="12"/>
        <v>849.25065771221921</v>
      </c>
      <c r="D275" s="70">
        <f t="shared" si="13"/>
        <v>296.54605140488349</v>
      </c>
      <c r="E275" s="70"/>
      <c r="F275" s="70"/>
      <c r="G275" s="70"/>
      <c r="H275" s="71">
        <f t="shared" si="14"/>
        <v>23</v>
      </c>
      <c r="I275" s="60"/>
    </row>
    <row r="276" spans="1:9" ht="12" customHeight="1">
      <c r="A276" s="69">
        <v>272</v>
      </c>
      <c r="B276" s="69"/>
      <c r="C276" s="70">
        <f t="shared" si="12"/>
        <v>852.08149323792668</v>
      </c>
      <c r="D276" s="70">
        <f t="shared" si="13"/>
        <v>293.71521587917607</v>
      </c>
      <c r="E276" s="70"/>
      <c r="F276" s="70"/>
      <c r="G276" s="70"/>
      <c r="H276" s="71">
        <f t="shared" si="14"/>
        <v>23</v>
      </c>
      <c r="I276" s="60"/>
    </row>
    <row r="277" spans="1:9" ht="12" customHeight="1">
      <c r="A277" s="69">
        <v>273</v>
      </c>
      <c r="B277" s="69"/>
      <c r="C277" s="70">
        <f t="shared" si="12"/>
        <v>854.92176488205303</v>
      </c>
      <c r="D277" s="70">
        <f t="shared" si="13"/>
        <v>290.87494423504967</v>
      </c>
      <c r="E277" s="70"/>
      <c r="F277" s="70"/>
      <c r="G277" s="70"/>
      <c r="H277" s="71">
        <f t="shared" si="14"/>
        <v>23</v>
      </c>
      <c r="I277" s="60"/>
    </row>
    <row r="278" spans="1:9" ht="12" customHeight="1">
      <c r="A278" s="69">
        <v>274</v>
      </c>
      <c r="B278" s="69"/>
      <c r="C278" s="70">
        <f t="shared" si="12"/>
        <v>857.77150409832666</v>
      </c>
      <c r="D278" s="70">
        <f t="shared" si="13"/>
        <v>288.02520501877615</v>
      </c>
      <c r="E278" s="70"/>
      <c r="F278" s="70"/>
      <c r="G278" s="70"/>
      <c r="H278" s="71">
        <f t="shared" si="14"/>
        <v>23</v>
      </c>
      <c r="I278" s="60"/>
    </row>
    <row r="279" spans="1:9" ht="12" customHeight="1">
      <c r="A279" s="69">
        <v>275</v>
      </c>
      <c r="B279" s="69"/>
      <c r="C279" s="70">
        <f t="shared" si="12"/>
        <v>860.63074244532095</v>
      </c>
      <c r="D279" s="70">
        <f t="shared" si="13"/>
        <v>285.16596667178175</v>
      </c>
      <c r="E279" s="70"/>
      <c r="F279" s="70"/>
      <c r="G279" s="70"/>
      <c r="H279" s="71">
        <f t="shared" si="14"/>
        <v>23</v>
      </c>
      <c r="I279" s="60"/>
    </row>
    <row r="280" spans="1:9" s="82" customFormat="1" ht="12" customHeight="1">
      <c r="A280" s="66">
        <v>276</v>
      </c>
      <c r="B280" s="66"/>
      <c r="C280" s="67">
        <f t="shared" si="12"/>
        <v>863.49951158680528</v>
      </c>
      <c r="D280" s="67">
        <f t="shared" si="13"/>
        <v>282.29719753029741</v>
      </c>
      <c r="E280" s="67">
        <f>C1-SUM(C4:C280)</f>
        <v>83825.659747502417</v>
      </c>
      <c r="F280" s="67">
        <f>SUM(C5:C280)</f>
        <v>156174.34025249758</v>
      </c>
      <c r="G280" s="67">
        <f>SUM(C269:C280)</f>
        <v>10174.736559918429</v>
      </c>
      <c r="H280" s="68">
        <f t="shared" si="14"/>
        <v>23</v>
      </c>
      <c r="I280" s="81"/>
    </row>
    <row r="281" spans="1:9" ht="12" customHeight="1">
      <c r="A281" s="63">
        <v>277</v>
      </c>
      <c r="B281" s="63"/>
      <c r="C281" s="64">
        <f t="shared" si="12"/>
        <v>866.37784329209478</v>
      </c>
      <c r="D281" s="64">
        <f t="shared" si="13"/>
        <v>279.41886582500797</v>
      </c>
      <c r="E281" s="64"/>
      <c r="F281" s="64"/>
      <c r="G281" s="64"/>
      <c r="H281" s="65">
        <f t="shared" si="14"/>
        <v>24</v>
      </c>
      <c r="I281" s="60"/>
    </row>
    <row r="282" spans="1:9" ht="12" customHeight="1">
      <c r="A282" s="63">
        <v>278</v>
      </c>
      <c r="B282" s="63"/>
      <c r="C282" s="64">
        <f t="shared" si="12"/>
        <v>869.26576943640168</v>
      </c>
      <c r="D282" s="64">
        <f t="shared" si="13"/>
        <v>276.53093968070107</v>
      </c>
      <c r="E282" s="64"/>
      <c r="F282" s="64"/>
      <c r="G282" s="64"/>
      <c r="H282" s="65">
        <f t="shared" si="14"/>
        <v>24</v>
      </c>
      <c r="I282" s="60"/>
    </row>
    <row r="283" spans="1:9" ht="12" customHeight="1">
      <c r="A283" s="63">
        <v>279</v>
      </c>
      <c r="B283" s="63"/>
      <c r="C283" s="64">
        <f t="shared" si="12"/>
        <v>872.16332200118973</v>
      </c>
      <c r="D283" s="64">
        <f t="shared" si="13"/>
        <v>273.63338711591297</v>
      </c>
      <c r="E283" s="64"/>
      <c r="F283" s="64"/>
      <c r="G283" s="64"/>
      <c r="H283" s="65">
        <f t="shared" si="14"/>
        <v>24</v>
      </c>
      <c r="I283" s="60"/>
    </row>
    <row r="284" spans="1:9" ht="12" customHeight="1">
      <c r="A284" s="63">
        <v>280</v>
      </c>
      <c r="B284" s="63"/>
      <c r="C284" s="64">
        <f t="shared" si="12"/>
        <v>875.07053307452713</v>
      </c>
      <c r="D284" s="64">
        <f t="shared" si="13"/>
        <v>270.72617604257573</v>
      </c>
      <c r="E284" s="64"/>
      <c r="F284" s="64"/>
      <c r="G284" s="64"/>
      <c r="H284" s="65">
        <f t="shared" si="14"/>
        <v>24</v>
      </c>
      <c r="I284" s="60"/>
    </row>
    <row r="285" spans="1:9" ht="12" customHeight="1">
      <c r="A285" s="63">
        <v>281</v>
      </c>
      <c r="B285" s="63"/>
      <c r="C285" s="64">
        <f t="shared" si="12"/>
        <v>877.98743485144212</v>
      </c>
      <c r="D285" s="64">
        <f t="shared" si="13"/>
        <v>267.80927426566063</v>
      </c>
      <c r="E285" s="64"/>
      <c r="F285" s="64"/>
      <c r="G285" s="64"/>
      <c r="H285" s="65">
        <f t="shared" si="14"/>
        <v>24</v>
      </c>
      <c r="I285" s="60"/>
    </row>
    <row r="286" spans="1:9" ht="12" customHeight="1">
      <c r="A286" s="63">
        <v>282</v>
      </c>
      <c r="B286" s="63"/>
      <c r="C286" s="64">
        <f t="shared" si="12"/>
        <v>880.91405963428031</v>
      </c>
      <c r="D286" s="64">
        <f t="shared" si="13"/>
        <v>264.8826494828225</v>
      </c>
      <c r="E286" s="64"/>
      <c r="F286" s="64"/>
      <c r="G286" s="64"/>
      <c r="H286" s="65">
        <f t="shared" si="14"/>
        <v>24</v>
      </c>
      <c r="I286" s="60"/>
    </row>
    <row r="287" spans="1:9" ht="12" customHeight="1">
      <c r="A287" s="63">
        <v>283</v>
      </c>
      <c r="B287" s="63"/>
      <c r="C287" s="64">
        <f t="shared" si="12"/>
        <v>883.85043983306116</v>
      </c>
      <c r="D287" s="64">
        <f t="shared" si="13"/>
        <v>261.94626928404148</v>
      </c>
      <c r="E287" s="64"/>
      <c r="F287" s="64"/>
      <c r="G287" s="64"/>
      <c r="H287" s="65">
        <f t="shared" si="14"/>
        <v>24</v>
      </c>
      <c r="I287" s="60"/>
    </row>
    <row r="288" spans="1:9" ht="12" customHeight="1">
      <c r="A288" s="63">
        <v>284</v>
      </c>
      <c r="B288" s="63"/>
      <c r="C288" s="64">
        <f t="shared" si="12"/>
        <v>886.79660796583789</v>
      </c>
      <c r="D288" s="64">
        <f t="shared" si="13"/>
        <v>259.00010115126463</v>
      </c>
      <c r="E288" s="64"/>
      <c r="F288" s="64"/>
      <c r="G288" s="64"/>
      <c r="H288" s="65">
        <f t="shared" si="14"/>
        <v>24</v>
      </c>
      <c r="I288" s="60"/>
    </row>
    <row r="289" spans="1:9" ht="12" customHeight="1">
      <c r="A289" s="63">
        <v>285</v>
      </c>
      <c r="B289" s="63"/>
      <c r="C289" s="64">
        <f t="shared" si="12"/>
        <v>889.75259665905753</v>
      </c>
      <c r="D289" s="64">
        <f t="shared" si="13"/>
        <v>256.04411245804522</v>
      </c>
      <c r="E289" s="64"/>
      <c r="F289" s="64"/>
      <c r="G289" s="64"/>
      <c r="H289" s="65">
        <f t="shared" si="14"/>
        <v>24</v>
      </c>
      <c r="I289" s="60"/>
    </row>
    <row r="290" spans="1:9" ht="12" customHeight="1">
      <c r="A290" s="63">
        <v>286</v>
      </c>
      <c r="B290" s="63"/>
      <c r="C290" s="64">
        <f t="shared" si="12"/>
        <v>892.71843864792106</v>
      </c>
      <c r="D290" s="64">
        <f t="shared" si="13"/>
        <v>253.07827046918166</v>
      </c>
      <c r="E290" s="64"/>
      <c r="F290" s="64"/>
      <c r="G290" s="64"/>
      <c r="H290" s="65">
        <f t="shared" si="14"/>
        <v>24</v>
      </c>
      <c r="I290" s="60"/>
    </row>
    <row r="291" spans="1:9" ht="12" customHeight="1">
      <c r="A291" s="63">
        <v>287</v>
      </c>
      <c r="B291" s="63"/>
      <c r="C291" s="64">
        <f t="shared" si="12"/>
        <v>895.69416677674747</v>
      </c>
      <c r="D291" s="64">
        <f t="shared" si="13"/>
        <v>250.10254234035531</v>
      </c>
      <c r="E291" s="64"/>
      <c r="F291" s="64"/>
      <c r="G291" s="64"/>
      <c r="H291" s="65">
        <f t="shared" si="14"/>
        <v>24</v>
      </c>
      <c r="I291" s="60"/>
    </row>
    <row r="292" spans="1:9" s="82" customFormat="1" ht="12" customHeight="1">
      <c r="A292" s="66">
        <v>288</v>
      </c>
      <c r="B292" s="66"/>
      <c r="C292" s="67">
        <f t="shared" si="12"/>
        <v>898.6798139993366</v>
      </c>
      <c r="D292" s="67">
        <f t="shared" si="13"/>
        <v>247.11689511776612</v>
      </c>
      <c r="E292" s="67">
        <f>C1-SUM(C4:C292)</f>
        <v>73236.388721330499</v>
      </c>
      <c r="F292" s="67">
        <f>SUM(C5:C292)</f>
        <v>166763.6112786695</v>
      </c>
      <c r="G292" s="67">
        <f>SUM(C281:C292)</f>
        <v>10589.271026171898</v>
      </c>
      <c r="H292" s="68">
        <f t="shared" si="14"/>
        <v>24</v>
      </c>
      <c r="I292" s="81"/>
    </row>
    <row r="293" spans="1:9" ht="12" customHeight="1">
      <c r="A293" s="69">
        <v>289</v>
      </c>
      <c r="B293" s="69"/>
      <c r="C293" s="70">
        <f t="shared" si="12"/>
        <v>901.67541337933437</v>
      </c>
      <c r="D293" s="70">
        <f t="shared" si="13"/>
        <v>244.12129573776835</v>
      </c>
      <c r="E293" s="70"/>
      <c r="F293" s="70"/>
      <c r="G293" s="70"/>
      <c r="H293" s="71">
        <f t="shared" si="14"/>
        <v>25</v>
      </c>
      <c r="I293" s="60"/>
    </row>
    <row r="294" spans="1:9" ht="12" customHeight="1">
      <c r="A294" s="69">
        <v>290</v>
      </c>
      <c r="B294" s="69"/>
      <c r="C294" s="70">
        <f t="shared" si="12"/>
        <v>904.68099809059879</v>
      </c>
      <c r="D294" s="70">
        <f t="shared" si="13"/>
        <v>241.1157110265039</v>
      </c>
      <c r="E294" s="70"/>
      <c r="F294" s="70"/>
      <c r="G294" s="70"/>
      <c r="H294" s="71">
        <f t="shared" si="14"/>
        <v>25</v>
      </c>
      <c r="I294" s="60"/>
    </row>
    <row r="295" spans="1:9" ht="12" customHeight="1">
      <c r="A295" s="69">
        <v>291</v>
      </c>
      <c r="B295" s="69"/>
      <c r="C295" s="70">
        <f t="shared" si="12"/>
        <v>907.69660141756742</v>
      </c>
      <c r="D295" s="70">
        <f t="shared" si="13"/>
        <v>238.10010769953527</v>
      </c>
      <c r="E295" s="70"/>
      <c r="F295" s="70"/>
      <c r="G295" s="70"/>
      <c r="H295" s="71">
        <f t="shared" si="14"/>
        <v>25</v>
      </c>
      <c r="I295" s="60"/>
    </row>
    <row r="296" spans="1:9" ht="12" customHeight="1">
      <c r="A296" s="69">
        <v>292</v>
      </c>
      <c r="B296" s="69"/>
      <c r="C296" s="70">
        <f t="shared" si="12"/>
        <v>910.72225675562595</v>
      </c>
      <c r="D296" s="70">
        <f t="shared" si="13"/>
        <v>235.07445236147663</v>
      </c>
      <c r="E296" s="70"/>
      <c r="F296" s="70"/>
      <c r="G296" s="70"/>
      <c r="H296" s="71">
        <f t="shared" si="14"/>
        <v>25</v>
      </c>
      <c r="I296" s="60"/>
    </row>
    <row r="297" spans="1:9" ht="12" customHeight="1">
      <c r="A297" s="69">
        <v>293</v>
      </c>
      <c r="B297" s="69"/>
      <c r="C297" s="70">
        <f t="shared" si="12"/>
        <v>913.75799761147812</v>
      </c>
      <c r="D297" s="70">
        <f t="shared" si="13"/>
        <v>232.03871150562458</v>
      </c>
      <c r="E297" s="70"/>
      <c r="F297" s="70"/>
      <c r="G297" s="70"/>
      <c r="H297" s="71">
        <f t="shared" si="14"/>
        <v>25</v>
      </c>
      <c r="I297" s="60"/>
    </row>
    <row r="298" spans="1:9" ht="12" customHeight="1">
      <c r="A298" s="69">
        <v>294</v>
      </c>
      <c r="B298" s="69"/>
      <c r="C298" s="70">
        <f t="shared" si="12"/>
        <v>916.80385760351658</v>
      </c>
      <c r="D298" s="70">
        <f t="shared" si="13"/>
        <v>228.99285151358632</v>
      </c>
      <c r="E298" s="70"/>
      <c r="F298" s="70"/>
      <c r="G298" s="70"/>
      <c r="H298" s="71">
        <f t="shared" si="14"/>
        <v>25</v>
      </c>
      <c r="I298" s="60"/>
    </row>
    <row r="299" spans="1:9" ht="12" customHeight="1">
      <c r="A299" s="69">
        <v>295</v>
      </c>
      <c r="B299" s="69"/>
      <c r="C299" s="70">
        <f t="shared" si="12"/>
        <v>919.85987046219475</v>
      </c>
      <c r="D299" s="70">
        <f t="shared" si="13"/>
        <v>225.93683865490797</v>
      </c>
      <c r="E299" s="70"/>
      <c r="F299" s="70"/>
      <c r="G299" s="70"/>
      <c r="H299" s="71">
        <f t="shared" si="14"/>
        <v>25</v>
      </c>
      <c r="I299" s="60"/>
    </row>
    <row r="300" spans="1:9" ht="12" customHeight="1">
      <c r="A300" s="69">
        <v>296</v>
      </c>
      <c r="B300" s="69"/>
      <c r="C300" s="70">
        <f t="shared" si="12"/>
        <v>922.92607003040212</v>
      </c>
      <c r="D300" s="70">
        <f t="shared" si="13"/>
        <v>222.87063908670061</v>
      </c>
      <c r="E300" s="70"/>
      <c r="F300" s="70"/>
      <c r="G300" s="70"/>
      <c r="H300" s="71">
        <f t="shared" si="14"/>
        <v>25</v>
      </c>
      <c r="I300" s="60"/>
    </row>
    <row r="301" spans="1:9" ht="12" customHeight="1">
      <c r="A301" s="69">
        <v>297</v>
      </c>
      <c r="B301" s="69"/>
      <c r="C301" s="70">
        <f t="shared" si="12"/>
        <v>926.00249026383665</v>
      </c>
      <c r="D301" s="70">
        <f t="shared" si="13"/>
        <v>219.79421885326593</v>
      </c>
      <c r="E301" s="70"/>
      <c r="F301" s="70"/>
      <c r="G301" s="70"/>
      <c r="H301" s="71">
        <f t="shared" si="14"/>
        <v>25</v>
      </c>
      <c r="I301" s="60"/>
    </row>
    <row r="302" spans="1:9" ht="12" customHeight="1">
      <c r="A302" s="69">
        <v>298</v>
      </c>
      <c r="B302" s="69"/>
      <c r="C302" s="70">
        <f t="shared" si="12"/>
        <v>929.08916523138305</v>
      </c>
      <c r="D302" s="70">
        <f t="shared" si="13"/>
        <v>216.70754388571982</v>
      </c>
      <c r="E302" s="70"/>
      <c r="F302" s="70"/>
      <c r="G302" s="70"/>
      <c r="H302" s="71">
        <f t="shared" si="14"/>
        <v>25</v>
      </c>
      <c r="I302" s="60"/>
    </row>
    <row r="303" spans="1:9" ht="12" customHeight="1">
      <c r="A303" s="69">
        <v>299</v>
      </c>
      <c r="B303" s="69"/>
      <c r="C303" s="70">
        <f t="shared" si="12"/>
        <v>932.18612911548746</v>
      </c>
      <c r="D303" s="70">
        <f t="shared" si="13"/>
        <v>213.6105800016152</v>
      </c>
      <c r="E303" s="70"/>
      <c r="F303" s="70"/>
      <c r="G303" s="70"/>
      <c r="H303" s="71">
        <f t="shared" si="14"/>
        <v>25</v>
      </c>
      <c r="I303" s="60"/>
    </row>
    <row r="304" spans="1:9" s="82" customFormat="1" ht="12" customHeight="1">
      <c r="A304" s="66">
        <v>300</v>
      </c>
      <c r="B304" s="66"/>
      <c r="C304" s="67">
        <f t="shared" si="12"/>
        <v>935.29341621253923</v>
      </c>
      <c r="D304" s="67">
        <f t="shared" si="13"/>
        <v>210.50329290456358</v>
      </c>
      <c r="E304" s="67">
        <f>C1-SUM(C4:C304)</f>
        <v>62215.694455156539</v>
      </c>
      <c r="F304" s="67">
        <f>SUM(C5:C304)</f>
        <v>177784.30554484346</v>
      </c>
      <c r="G304" s="67">
        <f>SUM(C293:C304)</f>
        <v>11020.694266173965</v>
      </c>
      <c r="H304" s="68">
        <f t="shared" si="14"/>
        <v>25</v>
      </c>
      <c r="I304" s="81"/>
    </row>
    <row r="305" spans="1:9" ht="12" customHeight="1">
      <c r="A305" s="63">
        <v>301</v>
      </c>
      <c r="B305" s="63"/>
      <c r="C305" s="64">
        <f t="shared" si="12"/>
        <v>938.41106093324765</v>
      </c>
      <c r="D305" s="64">
        <f t="shared" si="13"/>
        <v>207.38564818385512</v>
      </c>
      <c r="E305" s="64"/>
      <c r="F305" s="64"/>
      <c r="G305" s="64"/>
      <c r="H305" s="65">
        <f t="shared" si="14"/>
        <v>26</v>
      </c>
      <c r="I305" s="60"/>
    </row>
    <row r="306" spans="1:9" ht="12" customHeight="1">
      <c r="A306" s="63">
        <v>302</v>
      </c>
      <c r="B306" s="63"/>
      <c r="C306" s="64">
        <f t="shared" si="12"/>
        <v>941.53909780302513</v>
      </c>
      <c r="D306" s="64">
        <f t="shared" si="13"/>
        <v>204.25761131407756</v>
      </c>
      <c r="E306" s="64"/>
      <c r="F306" s="64"/>
      <c r="G306" s="64"/>
      <c r="H306" s="65">
        <f t="shared" si="14"/>
        <v>26</v>
      </c>
      <c r="I306" s="60"/>
    </row>
    <row r="307" spans="1:9" ht="12" customHeight="1">
      <c r="A307" s="63">
        <v>303</v>
      </c>
      <c r="B307" s="63"/>
      <c r="C307" s="64">
        <f t="shared" si="12"/>
        <v>944.67756146236854</v>
      </c>
      <c r="D307" s="64">
        <f t="shared" si="13"/>
        <v>201.11914765473421</v>
      </c>
      <c r="E307" s="64"/>
      <c r="F307" s="64"/>
      <c r="G307" s="64"/>
      <c r="H307" s="65">
        <f t="shared" si="14"/>
        <v>26</v>
      </c>
      <c r="I307" s="60"/>
    </row>
    <row r="308" spans="1:9" ht="12" customHeight="1">
      <c r="A308" s="63">
        <v>304</v>
      </c>
      <c r="B308" s="63"/>
      <c r="C308" s="64">
        <f t="shared" si="12"/>
        <v>947.82648666724322</v>
      </c>
      <c r="D308" s="64">
        <f t="shared" si="13"/>
        <v>197.97022244985965</v>
      </c>
      <c r="E308" s="64"/>
      <c r="F308" s="64"/>
      <c r="G308" s="64"/>
      <c r="H308" s="65">
        <f t="shared" si="14"/>
        <v>26</v>
      </c>
      <c r="I308" s="60"/>
    </row>
    <row r="309" spans="1:9" ht="12" customHeight="1">
      <c r="A309" s="63">
        <v>305</v>
      </c>
      <c r="B309" s="63"/>
      <c r="C309" s="64">
        <f t="shared" si="12"/>
        <v>950.98590828946715</v>
      </c>
      <c r="D309" s="64">
        <f t="shared" si="13"/>
        <v>194.81080082763549</v>
      </c>
      <c r="E309" s="64"/>
      <c r="F309" s="64"/>
      <c r="G309" s="64"/>
      <c r="H309" s="65">
        <f t="shared" si="14"/>
        <v>26</v>
      </c>
      <c r="I309" s="60"/>
    </row>
    <row r="310" spans="1:9" ht="12" customHeight="1">
      <c r="A310" s="63">
        <v>306</v>
      </c>
      <c r="B310" s="63"/>
      <c r="C310" s="64">
        <f t="shared" si="12"/>
        <v>954.15586131709881</v>
      </c>
      <c r="D310" s="64">
        <f t="shared" si="13"/>
        <v>191.64084780000397</v>
      </c>
      <c r="E310" s="64"/>
      <c r="F310" s="64"/>
      <c r="G310" s="64"/>
      <c r="H310" s="65">
        <f t="shared" si="14"/>
        <v>26</v>
      </c>
      <c r="I310" s="60"/>
    </row>
    <row r="311" spans="1:9" ht="12" customHeight="1">
      <c r="A311" s="63">
        <v>307</v>
      </c>
      <c r="B311" s="63"/>
      <c r="C311" s="64">
        <f t="shared" si="12"/>
        <v>957.33638085482244</v>
      </c>
      <c r="D311" s="64">
        <f t="shared" si="13"/>
        <v>188.46032826228029</v>
      </c>
      <c r="E311" s="64"/>
      <c r="F311" s="64"/>
      <c r="G311" s="64"/>
      <c r="H311" s="65">
        <f t="shared" si="14"/>
        <v>26</v>
      </c>
      <c r="I311" s="60"/>
    </row>
    <row r="312" spans="1:9" ht="12" customHeight="1">
      <c r="A312" s="63">
        <v>308</v>
      </c>
      <c r="B312" s="63"/>
      <c r="C312" s="64">
        <f t="shared" si="12"/>
        <v>960.52750212433853</v>
      </c>
      <c r="D312" s="64">
        <f t="shared" si="13"/>
        <v>185.26920699276423</v>
      </c>
      <c r="E312" s="64"/>
      <c r="F312" s="64"/>
      <c r="G312" s="64"/>
      <c r="H312" s="65">
        <f t="shared" si="14"/>
        <v>26</v>
      </c>
      <c r="I312" s="60"/>
    </row>
    <row r="313" spans="1:9" ht="12" customHeight="1">
      <c r="A313" s="63">
        <v>309</v>
      </c>
      <c r="B313" s="63"/>
      <c r="C313" s="64">
        <f t="shared" si="12"/>
        <v>963.72926046475288</v>
      </c>
      <c r="D313" s="64">
        <f t="shared" si="13"/>
        <v>182.06744865234975</v>
      </c>
      <c r="E313" s="64"/>
      <c r="F313" s="64"/>
      <c r="G313" s="64"/>
      <c r="H313" s="65">
        <f t="shared" si="14"/>
        <v>26</v>
      </c>
      <c r="I313" s="60"/>
    </row>
    <row r="314" spans="1:9" ht="12" customHeight="1">
      <c r="A314" s="63">
        <v>310</v>
      </c>
      <c r="B314" s="63"/>
      <c r="C314" s="64">
        <f t="shared" si="12"/>
        <v>966.94169133296884</v>
      </c>
      <c r="D314" s="64">
        <f t="shared" si="13"/>
        <v>178.85501778413391</v>
      </c>
      <c r="E314" s="64"/>
      <c r="F314" s="64"/>
      <c r="G314" s="64"/>
      <c r="H314" s="65">
        <f t="shared" si="14"/>
        <v>26</v>
      </c>
      <c r="I314" s="60"/>
    </row>
    <row r="315" spans="1:9" ht="12" customHeight="1">
      <c r="A315" s="63">
        <v>311</v>
      </c>
      <c r="B315" s="63"/>
      <c r="C315" s="64">
        <f t="shared" si="12"/>
        <v>970.16483030407869</v>
      </c>
      <c r="D315" s="64">
        <f t="shared" si="13"/>
        <v>175.631878813024</v>
      </c>
      <c r="E315" s="64"/>
      <c r="F315" s="64"/>
      <c r="G315" s="64"/>
      <c r="H315" s="65">
        <f t="shared" si="14"/>
        <v>26</v>
      </c>
      <c r="I315" s="60"/>
    </row>
    <row r="316" spans="1:9" s="82" customFormat="1" ht="12" customHeight="1">
      <c r="A316" s="66">
        <v>312</v>
      </c>
      <c r="B316" s="66"/>
      <c r="C316" s="67">
        <f t="shared" si="12"/>
        <v>973.39871307175906</v>
      </c>
      <c r="D316" s="67">
        <f t="shared" si="13"/>
        <v>172.39799604534375</v>
      </c>
      <c r="E316" s="67">
        <f>C1-SUM(C4:C316)</f>
        <v>50746.000100531353</v>
      </c>
      <c r="F316" s="67">
        <f>SUM(C5:C316)</f>
        <v>189253.99989946865</v>
      </c>
      <c r="G316" s="67">
        <f>SUM(C305:C316)</f>
        <v>11469.694354625173</v>
      </c>
      <c r="H316" s="68">
        <f t="shared" si="14"/>
        <v>26</v>
      </c>
      <c r="I316" s="81"/>
    </row>
    <row r="317" spans="1:9" ht="12" customHeight="1">
      <c r="A317" s="69">
        <v>313</v>
      </c>
      <c r="B317" s="69"/>
      <c r="C317" s="70">
        <f t="shared" si="12"/>
        <v>976.64337544866476</v>
      </c>
      <c r="D317" s="70">
        <f t="shared" si="13"/>
        <v>169.15333366843788</v>
      </c>
      <c r="E317" s="70"/>
      <c r="F317" s="70"/>
      <c r="G317" s="70"/>
      <c r="H317" s="71">
        <f t="shared" si="14"/>
        <v>27</v>
      </c>
      <c r="I317" s="60"/>
    </row>
    <row r="318" spans="1:9" ht="12" customHeight="1">
      <c r="A318" s="69">
        <v>314</v>
      </c>
      <c r="B318" s="69"/>
      <c r="C318" s="70">
        <f t="shared" si="12"/>
        <v>979.8988533668271</v>
      </c>
      <c r="D318" s="70">
        <f t="shared" si="13"/>
        <v>165.89785575027565</v>
      </c>
      <c r="E318" s="70"/>
      <c r="F318" s="70"/>
      <c r="G318" s="70"/>
      <c r="H318" s="71">
        <f t="shared" si="14"/>
        <v>27</v>
      </c>
      <c r="I318" s="60"/>
    </row>
    <row r="319" spans="1:9" ht="12" customHeight="1">
      <c r="A319" s="69">
        <v>315</v>
      </c>
      <c r="B319" s="69"/>
      <c r="C319" s="70">
        <f t="shared" si="12"/>
        <v>983.16518287804979</v>
      </c>
      <c r="D319" s="70">
        <f t="shared" si="13"/>
        <v>162.6315262390529</v>
      </c>
      <c r="E319" s="70"/>
      <c r="F319" s="70"/>
      <c r="G319" s="70"/>
      <c r="H319" s="71">
        <f t="shared" si="14"/>
        <v>27</v>
      </c>
      <c r="I319" s="60"/>
    </row>
    <row r="320" spans="1:9" ht="12" customHeight="1">
      <c r="A320" s="69">
        <v>316</v>
      </c>
      <c r="B320" s="69"/>
      <c r="C320" s="70">
        <f t="shared" si="12"/>
        <v>986.44240015430989</v>
      </c>
      <c r="D320" s="70">
        <f t="shared" si="13"/>
        <v>159.35430896279274</v>
      </c>
      <c r="E320" s="70"/>
      <c r="F320" s="70"/>
      <c r="G320" s="70"/>
      <c r="H320" s="71">
        <f t="shared" si="14"/>
        <v>27</v>
      </c>
      <c r="I320" s="60"/>
    </row>
    <row r="321" spans="1:9" ht="12" customHeight="1">
      <c r="A321" s="69">
        <v>317</v>
      </c>
      <c r="B321" s="69"/>
      <c r="C321" s="70">
        <f t="shared" si="12"/>
        <v>989.73054148815777</v>
      </c>
      <c r="D321" s="70">
        <f t="shared" si="13"/>
        <v>156.06616762894504</v>
      </c>
      <c r="E321" s="70"/>
      <c r="F321" s="70"/>
      <c r="G321" s="70"/>
      <c r="H321" s="71">
        <f t="shared" si="14"/>
        <v>27</v>
      </c>
      <c r="I321" s="60"/>
    </row>
    <row r="322" spans="1:9" ht="12" customHeight="1">
      <c r="A322" s="69">
        <v>318</v>
      </c>
      <c r="B322" s="69"/>
      <c r="C322" s="70">
        <f t="shared" si="12"/>
        <v>993.02964329311828</v>
      </c>
      <c r="D322" s="70">
        <f t="shared" si="13"/>
        <v>152.7670658239845</v>
      </c>
      <c r="E322" s="70"/>
      <c r="F322" s="70"/>
      <c r="G322" s="70"/>
      <c r="H322" s="71">
        <f t="shared" si="14"/>
        <v>27</v>
      </c>
      <c r="I322" s="60"/>
    </row>
    <row r="323" spans="1:9" ht="12" customHeight="1">
      <c r="A323" s="69">
        <v>319</v>
      </c>
      <c r="B323" s="69"/>
      <c r="C323" s="70">
        <f t="shared" si="12"/>
        <v>996.33974210409531</v>
      </c>
      <c r="D323" s="70">
        <f t="shared" si="13"/>
        <v>149.45696701300744</v>
      </c>
      <c r="E323" s="70"/>
      <c r="F323" s="70"/>
      <c r="G323" s="70"/>
      <c r="H323" s="71">
        <f t="shared" si="14"/>
        <v>27</v>
      </c>
      <c r="I323" s="60"/>
    </row>
    <row r="324" spans="1:9" ht="12" customHeight="1">
      <c r="A324" s="69">
        <v>320</v>
      </c>
      <c r="B324" s="69"/>
      <c r="C324" s="70">
        <f t="shared" si="12"/>
        <v>999.66087457777553</v>
      </c>
      <c r="D324" s="70">
        <f t="shared" si="13"/>
        <v>146.13583453932713</v>
      </c>
      <c r="E324" s="70"/>
      <c r="F324" s="70"/>
      <c r="G324" s="70"/>
      <c r="H324" s="71">
        <f t="shared" si="14"/>
        <v>27</v>
      </c>
      <c r="I324" s="60"/>
    </row>
    <row r="325" spans="1:9" ht="12" customHeight="1">
      <c r="A325" s="69">
        <v>321</v>
      </c>
      <c r="B325" s="69"/>
      <c r="C325" s="70">
        <f t="shared" ref="C325:C364" si="15">PPMT(C$2/12,A325,C$3,C$1*-1)</f>
        <v>1002.9930774930347</v>
      </c>
      <c r="D325" s="70">
        <f t="shared" ref="D325:D364" si="16">IPMT(C$2/12,A325,C$3,C$1*-1)</f>
        <v>142.80363162406786</v>
      </c>
      <c r="E325" s="70"/>
      <c r="F325" s="70"/>
      <c r="G325" s="70"/>
      <c r="H325" s="71">
        <f t="shared" ref="H325:H364" si="17">ROUNDUP(A325/12,0)</f>
        <v>27</v>
      </c>
      <c r="I325" s="60"/>
    </row>
    <row r="326" spans="1:9" ht="12" customHeight="1">
      <c r="A326" s="69">
        <v>322</v>
      </c>
      <c r="B326" s="69"/>
      <c r="C326" s="70">
        <f t="shared" si="15"/>
        <v>1006.336387751345</v>
      </c>
      <c r="D326" s="70">
        <f t="shared" si="16"/>
        <v>139.46032136575775</v>
      </c>
      <c r="E326" s="70"/>
      <c r="F326" s="70"/>
      <c r="G326" s="70"/>
      <c r="H326" s="71">
        <f t="shared" si="17"/>
        <v>27</v>
      </c>
      <c r="I326" s="60"/>
    </row>
    <row r="327" spans="1:9" ht="12" customHeight="1">
      <c r="A327" s="69">
        <v>323</v>
      </c>
      <c r="B327" s="69"/>
      <c r="C327" s="70">
        <f t="shared" si="15"/>
        <v>1009.6908423771827</v>
      </c>
      <c r="D327" s="70">
        <f t="shared" si="16"/>
        <v>136.10586673991995</v>
      </c>
      <c r="E327" s="70"/>
      <c r="F327" s="70"/>
      <c r="G327" s="70"/>
      <c r="H327" s="71">
        <f t="shared" si="17"/>
        <v>27</v>
      </c>
      <c r="I327" s="60"/>
    </row>
    <row r="328" spans="1:9" s="82" customFormat="1" ht="12" customHeight="1">
      <c r="A328" s="66">
        <v>324</v>
      </c>
      <c r="B328" s="66"/>
      <c r="C328" s="67">
        <f t="shared" si="15"/>
        <v>1013.0564785184399</v>
      </c>
      <c r="D328" s="67">
        <f t="shared" si="16"/>
        <v>132.74023059866269</v>
      </c>
      <c r="E328" s="67">
        <f>C1-SUM(C4:C328)</f>
        <v>38809.012701080355</v>
      </c>
      <c r="F328" s="67">
        <f>SUM(C5:C328)</f>
        <v>201190.98729891964</v>
      </c>
      <c r="G328" s="67">
        <f>SUM(C317:C328)</f>
        <v>11936.987399451002</v>
      </c>
      <c r="H328" s="68">
        <f t="shared" si="17"/>
        <v>27</v>
      </c>
      <c r="I328" s="81"/>
    </row>
    <row r="329" spans="1:9" ht="12" customHeight="1">
      <c r="A329" s="63">
        <v>325</v>
      </c>
      <c r="B329" s="63"/>
      <c r="C329" s="64">
        <f t="shared" si="15"/>
        <v>1016.4333334468348</v>
      </c>
      <c r="D329" s="64">
        <f t="shared" si="16"/>
        <v>129.36337567026789</v>
      </c>
      <c r="E329" s="64"/>
      <c r="F329" s="64"/>
      <c r="G329" s="64"/>
      <c r="H329" s="65">
        <f t="shared" si="17"/>
        <v>28</v>
      </c>
      <c r="I329" s="60"/>
    </row>
    <row r="330" spans="1:9" ht="12" customHeight="1">
      <c r="A330" s="63">
        <v>326</v>
      </c>
      <c r="B330" s="63"/>
      <c r="C330" s="64">
        <f t="shared" si="15"/>
        <v>1019.8214445583242</v>
      </c>
      <c r="D330" s="64">
        <f t="shared" si="16"/>
        <v>125.97526455877842</v>
      </c>
      <c r="E330" s="64"/>
      <c r="F330" s="64"/>
      <c r="G330" s="64"/>
      <c r="H330" s="65">
        <f t="shared" si="17"/>
        <v>28</v>
      </c>
      <c r="I330" s="60"/>
    </row>
    <row r="331" spans="1:9" ht="12" customHeight="1">
      <c r="A331" s="63">
        <v>327</v>
      </c>
      <c r="B331" s="63"/>
      <c r="C331" s="64">
        <f t="shared" si="15"/>
        <v>1023.2208493735186</v>
      </c>
      <c r="D331" s="64">
        <f t="shared" si="16"/>
        <v>122.57585974358402</v>
      </c>
      <c r="E331" s="64"/>
      <c r="F331" s="64"/>
      <c r="G331" s="64"/>
      <c r="H331" s="65">
        <f t="shared" si="17"/>
        <v>28</v>
      </c>
      <c r="I331" s="60"/>
    </row>
    <row r="332" spans="1:9" ht="12" customHeight="1">
      <c r="A332" s="63">
        <v>328</v>
      </c>
      <c r="B332" s="63"/>
      <c r="C332" s="64">
        <f t="shared" si="15"/>
        <v>1026.6315855380972</v>
      </c>
      <c r="D332" s="64">
        <f t="shared" si="16"/>
        <v>119.16512357900559</v>
      </c>
      <c r="E332" s="64"/>
      <c r="F332" s="64"/>
      <c r="G332" s="64"/>
      <c r="H332" s="65">
        <f t="shared" si="17"/>
        <v>28</v>
      </c>
      <c r="I332" s="60"/>
    </row>
    <row r="333" spans="1:9" ht="12" customHeight="1">
      <c r="A333" s="63">
        <v>329</v>
      </c>
      <c r="B333" s="63"/>
      <c r="C333" s="64">
        <f t="shared" si="15"/>
        <v>1030.0536908232241</v>
      </c>
      <c r="D333" s="64">
        <f t="shared" si="16"/>
        <v>115.74301829387862</v>
      </c>
      <c r="E333" s="64"/>
      <c r="F333" s="64"/>
      <c r="G333" s="64"/>
      <c r="H333" s="65">
        <f t="shared" si="17"/>
        <v>28</v>
      </c>
      <c r="I333" s="60"/>
    </row>
    <row r="334" spans="1:9" ht="12" customHeight="1">
      <c r="A334" s="63">
        <v>330</v>
      </c>
      <c r="B334" s="63"/>
      <c r="C334" s="64">
        <f t="shared" si="15"/>
        <v>1033.4872031259681</v>
      </c>
      <c r="D334" s="64">
        <f t="shared" si="16"/>
        <v>112.30950599113453</v>
      </c>
      <c r="E334" s="64"/>
      <c r="F334" s="64"/>
      <c r="G334" s="64"/>
      <c r="H334" s="65">
        <f t="shared" si="17"/>
        <v>28</v>
      </c>
      <c r="I334" s="60"/>
    </row>
    <row r="335" spans="1:9" ht="12" customHeight="1">
      <c r="A335" s="63">
        <v>331</v>
      </c>
      <c r="B335" s="63"/>
      <c r="C335" s="64">
        <f t="shared" si="15"/>
        <v>1036.9321604697216</v>
      </c>
      <c r="D335" s="64">
        <f t="shared" si="16"/>
        <v>108.86454864738133</v>
      </c>
      <c r="E335" s="64"/>
      <c r="F335" s="64"/>
      <c r="G335" s="64"/>
      <c r="H335" s="65">
        <f t="shared" si="17"/>
        <v>28</v>
      </c>
      <c r="I335" s="60"/>
    </row>
    <row r="336" spans="1:9" ht="12" customHeight="1">
      <c r="A336" s="63">
        <v>332</v>
      </c>
      <c r="B336" s="63"/>
      <c r="C336" s="64">
        <f t="shared" si="15"/>
        <v>1040.3886010046206</v>
      </c>
      <c r="D336" s="64">
        <f t="shared" si="16"/>
        <v>105.40810811248224</v>
      </c>
      <c r="E336" s="64"/>
      <c r="F336" s="64"/>
      <c r="G336" s="64"/>
      <c r="H336" s="65">
        <f t="shared" si="17"/>
        <v>28</v>
      </c>
      <c r="I336" s="60"/>
    </row>
    <row r="337" spans="1:9" ht="12" customHeight="1">
      <c r="A337" s="63">
        <v>333</v>
      </c>
      <c r="B337" s="63"/>
      <c r="C337" s="64">
        <f t="shared" si="15"/>
        <v>1043.8565630079693</v>
      </c>
      <c r="D337" s="64">
        <f t="shared" si="16"/>
        <v>101.94014610913349</v>
      </c>
      <c r="E337" s="64"/>
      <c r="F337" s="64"/>
      <c r="G337" s="64"/>
      <c r="H337" s="65">
        <f t="shared" si="17"/>
        <v>28</v>
      </c>
      <c r="I337" s="60"/>
    </row>
    <row r="338" spans="1:9" ht="12" customHeight="1">
      <c r="A338" s="63">
        <v>334</v>
      </c>
      <c r="B338" s="63"/>
      <c r="C338" s="64">
        <f t="shared" si="15"/>
        <v>1047.3360848846626</v>
      </c>
      <c r="D338" s="64">
        <f t="shared" si="16"/>
        <v>98.460624232440267</v>
      </c>
      <c r="E338" s="64"/>
      <c r="F338" s="64"/>
      <c r="G338" s="64"/>
      <c r="H338" s="65">
        <f t="shared" si="17"/>
        <v>28</v>
      </c>
      <c r="I338" s="60"/>
    </row>
    <row r="339" spans="1:9" ht="12" customHeight="1">
      <c r="A339" s="63">
        <v>335</v>
      </c>
      <c r="B339" s="63"/>
      <c r="C339" s="64">
        <f t="shared" si="15"/>
        <v>1050.8272051676113</v>
      </c>
      <c r="D339" s="64">
        <f t="shared" si="16"/>
        <v>94.969503949491411</v>
      </c>
      <c r="E339" s="64"/>
      <c r="F339" s="64"/>
      <c r="G339" s="64"/>
      <c r="H339" s="65">
        <f t="shared" si="17"/>
        <v>28</v>
      </c>
      <c r="I339" s="60"/>
    </row>
    <row r="340" spans="1:9" s="82" customFormat="1" ht="12" customHeight="1">
      <c r="A340" s="66">
        <v>336</v>
      </c>
      <c r="B340" s="66"/>
      <c r="C340" s="67">
        <f t="shared" si="15"/>
        <v>1054.3299625181701</v>
      </c>
      <c r="D340" s="67">
        <f t="shared" si="16"/>
        <v>91.466746598932716</v>
      </c>
      <c r="E340" s="67">
        <f>C1-SUM(C4:C340)</f>
        <v>26385.694017161615</v>
      </c>
      <c r="F340" s="67">
        <f>SUM(C5:C340)</f>
        <v>213614.30598283838</v>
      </c>
      <c r="G340" s="67">
        <f>SUM(C329:C340)</f>
        <v>12423.318683918724</v>
      </c>
      <c r="H340" s="68">
        <f t="shared" si="17"/>
        <v>28</v>
      </c>
      <c r="I340" s="81"/>
    </row>
    <row r="341" spans="1:9" ht="12" customHeight="1">
      <c r="A341" s="69">
        <v>337</v>
      </c>
      <c r="B341" s="69"/>
      <c r="C341" s="70">
        <f t="shared" si="15"/>
        <v>1057.844395726564</v>
      </c>
      <c r="D341" s="70">
        <f t="shared" si="16"/>
        <v>87.952313390538805</v>
      </c>
      <c r="E341" s="70"/>
      <c r="F341" s="70"/>
      <c r="G341" s="70"/>
      <c r="H341" s="71">
        <f t="shared" si="17"/>
        <v>29</v>
      </c>
      <c r="I341" s="60"/>
    </row>
    <row r="342" spans="1:9" ht="12" customHeight="1">
      <c r="A342" s="69">
        <v>338</v>
      </c>
      <c r="B342" s="69"/>
      <c r="C342" s="70">
        <f t="shared" si="15"/>
        <v>1061.370543712319</v>
      </c>
      <c r="D342" s="70">
        <f t="shared" si="16"/>
        <v>84.426165404783589</v>
      </c>
      <c r="E342" s="70"/>
      <c r="F342" s="70"/>
      <c r="G342" s="70"/>
      <c r="H342" s="71">
        <f t="shared" si="17"/>
        <v>29</v>
      </c>
      <c r="I342" s="60"/>
    </row>
    <row r="343" spans="1:9" ht="12" customHeight="1">
      <c r="A343" s="69">
        <v>339</v>
      </c>
      <c r="B343" s="69"/>
      <c r="C343" s="70">
        <f t="shared" si="15"/>
        <v>1064.9084455246934</v>
      </c>
      <c r="D343" s="70">
        <f t="shared" si="16"/>
        <v>80.888263592409203</v>
      </c>
      <c r="E343" s="70"/>
      <c r="F343" s="70"/>
      <c r="G343" s="70"/>
      <c r="H343" s="71">
        <f t="shared" si="17"/>
        <v>29</v>
      </c>
      <c r="I343" s="60"/>
    </row>
    <row r="344" spans="1:9" ht="12" customHeight="1">
      <c r="A344" s="69">
        <v>340</v>
      </c>
      <c r="B344" s="69"/>
      <c r="C344" s="70">
        <f t="shared" si="15"/>
        <v>1068.4581403431091</v>
      </c>
      <c r="D344" s="70">
        <f t="shared" si="16"/>
        <v>77.338568773993543</v>
      </c>
      <c r="E344" s="70"/>
      <c r="F344" s="70"/>
      <c r="G344" s="70"/>
      <c r="H344" s="71">
        <f t="shared" si="17"/>
        <v>29</v>
      </c>
      <c r="I344" s="60"/>
    </row>
    <row r="345" spans="1:9" ht="12" customHeight="1">
      <c r="A345" s="69">
        <v>341</v>
      </c>
      <c r="B345" s="69"/>
      <c r="C345" s="70">
        <f t="shared" si="15"/>
        <v>1072.0196674775862</v>
      </c>
      <c r="D345" s="70">
        <f t="shared" si="16"/>
        <v>73.777041639516511</v>
      </c>
      <c r="E345" s="70"/>
      <c r="F345" s="70"/>
      <c r="G345" s="70"/>
      <c r="H345" s="71">
        <f t="shared" si="17"/>
        <v>29</v>
      </c>
      <c r="I345" s="60"/>
    </row>
    <row r="346" spans="1:9" ht="12" customHeight="1">
      <c r="A346" s="69">
        <v>342</v>
      </c>
      <c r="B346" s="69"/>
      <c r="C346" s="70">
        <f t="shared" si="15"/>
        <v>1075.5930663691781</v>
      </c>
      <c r="D346" s="70">
        <f t="shared" si="16"/>
        <v>70.203642747924548</v>
      </c>
      <c r="E346" s="70"/>
      <c r="F346" s="70"/>
      <c r="G346" s="70"/>
      <c r="H346" s="71">
        <f t="shared" si="17"/>
        <v>29</v>
      </c>
      <c r="I346" s="60"/>
    </row>
    <row r="347" spans="1:9" ht="12" customHeight="1">
      <c r="A347" s="69">
        <v>343</v>
      </c>
      <c r="B347" s="69"/>
      <c r="C347" s="70">
        <f t="shared" si="15"/>
        <v>1079.1783765904088</v>
      </c>
      <c r="D347" s="70">
        <f t="shared" si="16"/>
        <v>66.618332526693962</v>
      </c>
      <c r="E347" s="70"/>
      <c r="F347" s="70"/>
      <c r="G347" s="70"/>
      <c r="H347" s="71">
        <f t="shared" si="17"/>
        <v>29</v>
      </c>
      <c r="I347" s="60"/>
    </row>
    <row r="348" spans="1:9" ht="12" customHeight="1">
      <c r="A348" s="69">
        <v>344</v>
      </c>
      <c r="B348" s="69"/>
      <c r="C348" s="70">
        <f t="shared" si="15"/>
        <v>1082.7756378457102</v>
      </c>
      <c r="D348" s="70">
        <f t="shared" si="16"/>
        <v>63.021071271392614</v>
      </c>
      <c r="E348" s="70"/>
      <c r="F348" s="70"/>
      <c r="G348" s="70"/>
      <c r="H348" s="71">
        <f t="shared" si="17"/>
        <v>29</v>
      </c>
      <c r="I348" s="60"/>
    </row>
    <row r="349" spans="1:9" ht="12" customHeight="1">
      <c r="A349" s="69">
        <v>345</v>
      </c>
      <c r="B349" s="69"/>
      <c r="C349" s="70">
        <f t="shared" si="15"/>
        <v>1086.3848899718625</v>
      </c>
      <c r="D349" s="70">
        <f t="shared" si="16"/>
        <v>59.411819145240237</v>
      </c>
      <c r="E349" s="70"/>
      <c r="F349" s="70"/>
      <c r="G349" s="70"/>
      <c r="H349" s="71">
        <f t="shared" si="17"/>
        <v>29</v>
      </c>
      <c r="I349" s="60"/>
    </row>
    <row r="350" spans="1:9" ht="12" customHeight="1">
      <c r="A350" s="69">
        <v>346</v>
      </c>
      <c r="B350" s="69"/>
      <c r="C350" s="70">
        <f t="shared" si="15"/>
        <v>1090.0061729384354</v>
      </c>
      <c r="D350" s="70">
        <f t="shared" si="16"/>
        <v>55.790536178667367</v>
      </c>
      <c r="E350" s="70"/>
      <c r="F350" s="70"/>
      <c r="G350" s="70"/>
      <c r="H350" s="71">
        <f t="shared" si="17"/>
        <v>29</v>
      </c>
      <c r="I350" s="60"/>
    </row>
    <row r="351" spans="1:9" ht="12" customHeight="1">
      <c r="A351" s="69">
        <v>347</v>
      </c>
      <c r="B351" s="69"/>
      <c r="C351" s="70">
        <f t="shared" si="15"/>
        <v>1093.6395268482302</v>
      </c>
      <c r="D351" s="70">
        <f t="shared" si="16"/>
        <v>52.157182268872567</v>
      </c>
      <c r="E351" s="70"/>
      <c r="F351" s="70"/>
      <c r="G351" s="70"/>
      <c r="H351" s="71">
        <f t="shared" si="17"/>
        <v>29</v>
      </c>
      <c r="I351" s="60"/>
    </row>
    <row r="352" spans="1:9" s="82" customFormat="1" ht="12" customHeight="1">
      <c r="A352" s="66">
        <v>348</v>
      </c>
      <c r="B352" s="66"/>
      <c r="C352" s="67">
        <f t="shared" si="15"/>
        <v>1097.2849919377243</v>
      </c>
      <c r="D352" s="67">
        <f t="shared" si="16"/>
        <v>48.511717179378479</v>
      </c>
      <c r="E352" s="67">
        <f>C1-SUM(C4:C352)</f>
        <v>13456.230161875807</v>
      </c>
      <c r="F352" s="67">
        <f>SUM(C5:C352)</f>
        <v>226543.76983812419</v>
      </c>
      <c r="G352" s="67">
        <f>SUM(C341:C352)</f>
        <v>12929.463855285823</v>
      </c>
      <c r="H352" s="68">
        <f t="shared" si="17"/>
        <v>29</v>
      </c>
      <c r="I352" s="81"/>
    </row>
    <row r="353" spans="1:9" ht="12" customHeight="1">
      <c r="A353" s="63">
        <v>349</v>
      </c>
      <c r="B353" s="63"/>
      <c r="C353" s="64">
        <f t="shared" si="15"/>
        <v>1100.9426085775167</v>
      </c>
      <c r="D353" s="64">
        <f t="shared" si="16"/>
        <v>44.854100539586064</v>
      </c>
      <c r="E353" s="64"/>
      <c r="F353" s="64"/>
      <c r="G353" s="64"/>
      <c r="H353" s="65">
        <f t="shared" si="17"/>
        <v>30</v>
      </c>
      <c r="I353" s="60"/>
    </row>
    <row r="354" spans="1:9" ht="12" customHeight="1">
      <c r="A354" s="63">
        <v>350</v>
      </c>
      <c r="B354" s="63"/>
      <c r="C354" s="64">
        <f t="shared" si="15"/>
        <v>1104.612417272775</v>
      </c>
      <c r="D354" s="64">
        <f t="shared" si="16"/>
        <v>41.184291844327674</v>
      </c>
      <c r="E354" s="64"/>
      <c r="F354" s="64"/>
      <c r="G354" s="64"/>
      <c r="H354" s="65">
        <f t="shared" si="17"/>
        <v>30</v>
      </c>
      <c r="I354" s="60"/>
    </row>
    <row r="355" spans="1:9" ht="12" customHeight="1">
      <c r="A355" s="63">
        <v>351</v>
      </c>
      <c r="B355" s="63"/>
      <c r="C355" s="64">
        <f t="shared" si="15"/>
        <v>1108.2944586636843</v>
      </c>
      <c r="D355" s="64">
        <f t="shared" si="16"/>
        <v>37.502250453418412</v>
      </c>
      <c r="E355" s="64"/>
      <c r="F355" s="64"/>
      <c r="G355" s="64"/>
      <c r="H355" s="65">
        <f t="shared" si="17"/>
        <v>30</v>
      </c>
      <c r="I355" s="60"/>
    </row>
    <row r="356" spans="1:9" ht="12" customHeight="1">
      <c r="A356" s="63">
        <v>352</v>
      </c>
      <c r="B356" s="63"/>
      <c r="C356" s="64">
        <f t="shared" si="15"/>
        <v>1111.9887735258965</v>
      </c>
      <c r="D356" s="64">
        <f t="shared" si="16"/>
        <v>33.807935591206132</v>
      </c>
      <c r="E356" s="64"/>
      <c r="F356" s="64"/>
      <c r="G356" s="64"/>
      <c r="H356" s="65">
        <f t="shared" si="17"/>
        <v>30</v>
      </c>
      <c r="I356" s="60"/>
    </row>
    <row r="357" spans="1:9" ht="12" customHeight="1">
      <c r="A357" s="63">
        <v>353</v>
      </c>
      <c r="B357" s="63"/>
      <c r="C357" s="64">
        <f t="shared" si="15"/>
        <v>1115.695402770983</v>
      </c>
      <c r="D357" s="64">
        <f t="shared" si="16"/>
        <v>30.10130634611982</v>
      </c>
      <c r="E357" s="64"/>
      <c r="F357" s="64"/>
      <c r="G357" s="64"/>
      <c r="H357" s="65">
        <f t="shared" si="17"/>
        <v>30</v>
      </c>
      <c r="I357" s="60"/>
    </row>
    <row r="358" spans="1:9" ht="12" customHeight="1">
      <c r="A358" s="63">
        <v>354</v>
      </c>
      <c r="B358" s="63"/>
      <c r="C358" s="64">
        <f t="shared" si="15"/>
        <v>1119.4143874468862</v>
      </c>
      <c r="D358" s="64">
        <f t="shared" si="16"/>
        <v>26.382321670216545</v>
      </c>
      <c r="E358" s="64"/>
      <c r="F358" s="64"/>
      <c r="G358" s="64"/>
      <c r="H358" s="65">
        <f t="shared" si="17"/>
        <v>30</v>
      </c>
      <c r="I358" s="60"/>
    </row>
    <row r="359" spans="1:9" ht="12" customHeight="1">
      <c r="A359" s="63">
        <v>355</v>
      </c>
      <c r="B359" s="63"/>
      <c r="C359" s="64">
        <f t="shared" si="15"/>
        <v>1123.1457687383756</v>
      </c>
      <c r="D359" s="64">
        <f t="shared" si="16"/>
        <v>22.650940378726926</v>
      </c>
      <c r="E359" s="64"/>
      <c r="F359" s="64"/>
      <c r="G359" s="64"/>
      <c r="H359" s="65">
        <f t="shared" si="17"/>
        <v>30</v>
      </c>
      <c r="I359" s="60"/>
    </row>
    <row r="360" spans="1:9" ht="12" customHeight="1">
      <c r="A360" s="63">
        <v>356</v>
      </c>
      <c r="B360" s="63"/>
      <c r="C360" s="64">
        <f t="shared" si="15"/>
        <v>1126.8895879675038</v>
      </c>
      <c r="D360" s="64">
        <f t="shared" si="16"/>
        <v>18.907121149599</v>
      </c>
      <c r="E360" s="64"/>
      <c r="F360" s="64"/>
      <c r="G360" s="64"/>
      <c r="H360" s="65">
        <f t="shared" si="17"/>
        <v>30</v>
      </c>
      <c r="I360" s="60"/>
    </row>
    <row r="361" spans="1:9" ht="12" customHeight="1">
      <c r="A361" s="63">
        <v>357</v>
      </c>
      <c r="B361" s="63"/>
      <c r="C361" s="64">
        <f t="shared" si="15"/>
        <v>1130.6458865940619</v>
      </c>
      <c r="D361" s="64">
        <f t="shared" si="16"/>
        <v>15.150822523040656</v>
      </c>
      <c r="E361" s="64"/>
      <c r="F361" s="64"/>
      <c r="G361" s="64"/>
      <c r="H361" s="65">
        <f t="shared" si="17"/>
        <v>30</v>
      </c>
      <c r="I361" s="60"/>
    </row>
    <row r="362" spans="1:9" ht="12" customHeight="1">
      <c r="A362" s="63">
        <v>358</v>
      </c>
      <c r="B362" s="63"/>
      <c r="C362" s="64">
        <f t="shared" si="15"/>
        <v>1134.4147062160423</v>
      </c>
      <c r="D362" s="64">
        <f t="shared" si="16"/>
        <v>11.382002901060448</v>
      </c>
      <c r="E362" s="64"/>
      <c r="F362" s="64"/>
      <c r="G362" s="64"/>
      <c r="H362" s="65">
        <f t="shared" si="17"/>
        <v>30</v>
      </c>
      <c r="I362" s="60"/>
    </row>
    <row r="363" spans="1:9" ht="12" customHeight="1">
      <c r="A363" s="63">
        <v>359</v>
      </c>
      <c r="B363" s="63"/>
      <c r="C363" s="64">
        <f t="shared" si="15"/>
        <v>1138.1960885700958</v>
      </c>
      <c r="D363" s="64">
        <f t="shared" si="16"/>
        <v>7.6006205470069732</v>
      </c>
      <c r="E363" s="64"/>
      <c r="F363" s="64"/>
      <c r="G363" s="64"/>
      <c r="H363" s="65">
        <f t="shared" si="17"/>
        <v>30</v>
      </c>
      <c r="I363" s="60"/>
    </row>
    <row r="364" spans="1:9" ht="12" customHeight="1">
      <c r="A364" s="66">
        <v>360</v>
      </c>
      <c r="B364" s="66"/>
      <c r="C364" s="67">
        <f t="shared" si="15"/>
        <v>1141.9900755319961</v>
      </c>
      <c r="D364" s="67">
        <f t="shared" si="16"/>
        <v>3.8066335851066539</v>
      </c>
      <c r="E364" s="67">
        <f>C1-SUM(C5:C364)</f>
        <v>0</v>
      </c>
      <c r="F364" s="67">
        <f>SUM(C5:C364)</f>
        <v>240000</v>
      </c>
      <c r="G364" s="67">
        <f>SUM(C353:C364)</f>
        <v>13456.230161875817</v>
      </c>
      <c r="H364" s="68">
        <f t="shared" si="17"/>
        <v>30</v>
      </c>
      <c r="I364" s="60"/>
    </row>
  </sheetData>
  <sheetProtection selectLockedCells="1"/>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U40"/>
  <sheetViews>
    <sheetView zoomScale="80" zoomScaleNormal="80" workbookViewId="0">
      <pane xSplit="1" ySplit="3" topLeftCell="B4" activePane="bottomRight" state="frozen"/>
      <selection pane="topRight" activeCell="B1" sqref="B1"/>
      <selection pane="bottomLeft" activeCell="A4" sqref="A4"/>
      <selection pane="bottomRight" activeCell="A23" sqref="A23:XFD23"/>
    </sheetView>
  </sheetViews>
  <sheetFormatPr defaultColWidth="9.140625" defaultRowHeight="15"/>
  <cols>
    <col min="1" max="1" width="11.42578125" style="103" customWidth="1"/>
    <col min="2" max="2" width="16.140625" style="103" customWidth="1"/>
    <col min="3" max="3" width="13.85546875" style="103" customWidth="1"/>
    <col min="4" max="4" width="12.42578125" style="103" customWidth="1"/>
    <col min="5" max="5" width="16.42578125" style="121" customWidth="1"/>
    <col min="6" max="6" width="16.42578125" style="103" customWidth="1"/>
    <col min="7" max="7" width="14.7109375" style="121" customWidth="1"/>
    <col min="8" max="8" width="14.7109375" style="103" customWidth="1"/>
    <col min="9" max="9" width="21" style="169" customWidth="1"/>
    <col min="10" max="10" width="17.85546875" style="103" customWidth="1"/>
    <col min="11" max="11" width="14.85546875" style="121" customWidth="1"/>
    <col min="12" max="12" width="15.28515625" style="103" customWidth="1"/>
    <col min="13" max="13" width="15.5703125" style="103" customWidth="1"/>
    <col min="14" max="14" width="17.7109375" style="169" customWidth="1"/>
    <col min="15" max="15" width="17.42578125" style="103" customWidth="1"/>
    <col min="16" max="16" width="19.85546875" style="121" customWidth="1"/>
    <col min="17" max="17" width="16.42578125" style="103" customWidth="1"/>
    <col min="18" max="18" width="12.28515625" style="121" bestFit="1" customWidth="1"/>
    <col min="19" max="19" width="12.28515625" style="103" bestFit="1" customWidth="1"/>
    <col min="20" max="20" width="17.5703125" style="103" customWidth="1"/>
    <col min="21" max="21" width="17.28515625" style="103" customWidth="1"/>
    <col min="22" max="22" width="15.28515625" style="103" bestFit="1" customWidth="1"/>
    <col min="23" max="23" width="10.85546875" style="121" bestFit="1" customWidth="1"/>
    <col min="24" max="24" width="12.28515625" style="130" bestFit="1" customWidth="1"/>
    <col min="25" max="25" width="11.42578125" style="130" bestFit="1" customWidth="1"/>
    <col min="26" max="26" width="14.5703125" style="122" customWidth="1"/>
    <col min="27" max="27" width="24.5703125" style="103" customWidth="1"/>
    <col min="28" max="28" width="21.140625" style="103" customWidth="1"/>
    <col min="29" max="29" width="22.28515625" style="103" customWidth="1"/>
    <col min="30" max="30" width="13.42578125" style="103" bestFit="1" customWidth="1"/>
    <col min="31" max="31" width="13.42578125" style="103" customWidth="1"/>
    <col min="32" max="32" width="22.140625" style="103" customWidth="1"/>
    <col min="33" max="34" width="13.42578125" style="103" customWidth="1"/>
    <col min="35" max="35" width="14.28515625" style="103" customWidth="1"/>
    <col min="36" max="36" width="26.140625" style="103" customWidth="1"/>
    <col min="37" max="37" width="14.85546875" style="103" customWidth="1"/>
    <col min="38" max="38" width="17.140625" style="103" customWidth="1"/>
    <col min="39" max="39" width="15.42578125" style="103" customWidth="1"/>
    <col min="40" max="40" width="21.5703125" style="103" customWidth="1"/>
    <col min="41" max="41" width="14.7109375" style="103" customWidth="1"/>
    <col min="42" max="42" width="17.140625" style="103" customWidth="1"/>
    <col min="43" max="43" width="13.42578125" style="103" customWidth="1"/>
    <col min="44" max="44" width="20.42578125" style="103" customWidth="1"/>
    <col min="45" max="45" width="14.7109375" style="103" customWidth="1"/>
    <col min="46" max="46" width="15.140625" style="103" customWidth="1"/>
    <col min="47" max="261" width="11.42578125" style="103" customWidth="1"/>
    <col min="262" max="16384" width="9.140625" style="103"/>
  </cols>
  <sheetData>
    <row r="2" spans="1:47" ht="15.75">
      <c r="A2" s="123" t="s">
        <v>76</v>
      </c>
      <c r="B2" s="124"/>
      <c r="C2" s="124"/>
      <c r="D2" s="124"/>
      <c r="E2" s="128"/>
      <c r="F2" s="124"/>
      <c r="G2" s="128"/>
      <c r="H2" s="124"/>
      <c r="I2" s="166"/>
      <c r="J2" s="124"/>
      <c r="K2" s="124"/>
      <c r="L2" s="124"/>
      <c r="M2" s="124"/>
      <c r="N2" s="166"/>
      <c r="O2" s="124"/>
      <c r="P2" s="128"/>
      <c r="Q2" s="124"/>
      <c r="R2" s="128"/>
      <c r="S2" s="124"/>
      <c r="T2" s="124"/>
      <c r="U2" s="124"/>
      <c r="V2" s="124"/>
      <c r="W2" s="128"/>
      <c r="X2" s="128"/>
      <c r="Y2" s="128"/>
      <c r="Z2" s="124"/>
      <c r="AA2" s="124"/>
      <c r="AB2" s="124"/>
      <c r="AC2" s="124"/>
      <c r="AD2" s="124"/>
      <c r="AE2" s="124"/>
      <c r="AF2" s="124"/>
      <c r="AG2" s="124"/>
      <c r="AH2" s="124"/>
      <c r="AI2" s="124"/>
      <c r="AJ2" s="124"/>
      <c r="AK2" s="124"/>
      <c r="AL2" s="124"/>
      <c r="AM2" s="124"/>
      <c r="AN2" s="124"/>
      <c r="AO2" s="124"/>
      <c r="AP2" s="124"/>
      <c r="AQ2" s="124"/>
      <c r="AR2" s="124"/>
      <c r="AS2" s="124"/>
      <c r="AT2" s="125"/>
      <c r="AU2" s="173"/>
    </row>
    <row r="3" spans="1:47" s="102" customFormat="1" ht="97.5" customHeight="1" thickBot="1">
      <c r="A3" s="100" t="s">
        <v>75</v>
      </c>
      <c r="B3" s="100" t="s">
        <v>77</v>
      </c>
      <c r="C3" s="100" t="s">
        <v>78</v>
      </c>
      <c r="D3" s="100" t="s">
        <v>79</v>
      </c>
      <c r="E3" s="101" t="s">
        <v>80</v>
      </c>
      <c r="F3" s="100" t="s">
        <v>81</v>
      </c>
      <c r="G3" s="101" t="s">
        <v>82</v>
      </c>
      <c r="H3" s="100" t="s">
        <v>83</v>
      </c>
      <c r="I3" s="167" t="s">
        <v>84</v>
      </c>
      <c r="J3" s="100" t="s">
        <v>85</v>
      </c>
      <c r="K3" s="101" t="s">
        <v>86</v>
      </c>
      <c r="L3" s="100" t="s">
        <v>87</v>
      </c>
      <c r="M3" s="100" t="s">
        <v>88</v>
      </c>
      <c r="N3" s="167" t="s">
        <v>89</v>
      </c>
      <c r="O3" s="100" t="s">
        <v>90</v>
      </c>
      <c r="P3" s="101" t="s">
        <v>91</v>
      </c>
      <c r="Q3" s="100" t="s">
        <v>92</v>
      </c>
      <c r="R3" s="101" t="s">
        <v>72</v>
      </c>
      <c r="S3" s="100" t="s">
        <v>61</v>
      </c>
      <c r="T3" s="100" t="s">
        <v>93</v>
      </c>
      <c r="U3" s="100" t="s">
        <v>94</v>
      </c>
      <c r="V3" s="100" t="s">
        <v>95</v>
      </c>
      <c r="W3" s="101" t="s">
        <v>96</v>
      </c>
      <c r="X3" s="101" t="s">
        <v>97</v>
      </c>
      <c r="Y3" s="101" t="s">
        <v>98</v>
      </c>
      <c r="Z3" s="100" t="s">
        <v>99</v>
      </c>
      <c r="AA3" s="100" t="s">
        <v>100</v>
      </c>
      <c r="AB3" s="100" t="s">
        <v>101</v>
      </c>
      <c r="AC3" s="100" t="s">
        <v>102</v>
      </c>
      <c r="AD3" s="100" t="s">
        <v>103</v>
      </c>
      <c r="AE3" s="152"/>
      <c r="AF3" s="152"/>
      <c r="AG3" s="152"/>
      <c r="AH3" s="152"/>
      <c r="AI3" s="228" t="s">
        <v>104</v>
      </c>
      <c r="AJ3" s="229"/>
      <c r="AK3" s="229"/>
      <c r="AL3" s="229"/>
      <c r="AM3" s="229"/>
      <c r="AN3" s="229"/>
      <c r="AO3" s="229"/>
      <c r="AP3" s="229"/>
      <c r="AQ3" s="229"/>
      <c r="AR3" s="229"/>
      <c r="AS3" s="229"/>
      <c r="AT3" s="230"/>
      <c r="AU3" s="174"/>
    </row>
    <row r="4" spans="1:47" ht="15.75">
      <c r="A4" s="104">
        <v>1</v>
      </c>
      <c r="B4" s="106">
        <f>'Analysis Worksheet'!C57</f>
        <v>0.03</v>
      </c>
      <c r="C4" s="105">
        <f>'Analysis Worksheet'!G27</f>
        <v>24000</v>
      </c>
      <c r="D4" s="107">
        <f>'Analysis Worksheet'!C28</f>
        <v>0.02</v>
      </c>
      <c r="E4" s="108">
        <f t="shared" ref="E4:E34" si="0">C4-(C4*D4)</f>
        <v>23520</v>
      </c>
      <c r="F4" s="126">
        <f>'Analysis Worksheet'!C56</f>
        <v>1.4999999999999999E-2</v>
      </c>
      <c r="G4" s="108">
        <f>'Analysis Worksheet'!G40</f>
        <v>6336</v>
      </c>
      <c r="H4" s="105">
        <f>E4-G4</f>
        <v>17184</v>
      </c>
      <c r="I4" s="168">
        <f>'Interest Calculations'!F16</f>
        <v>4226.4874398049369</v>
      </c>
      <c r="J4" s="105">
        <f>I4</f>
        <v>4226.4874398049369</v>
      </c>
      <c r="K4" s="108">
        <f>H4-'Analysis Worksheet'!G19</f>
        <v>3434.4394905947684</v>
      </c>
      <c r="L4" s="105">
        <f>'Analysis Worksheet'!F5</f>
        <v>300000</v>
      </c>
      <c r="M4" s="126">
        <f>'Analysis Worksheet'!C58</f>
        <v>0.04</v>
      </c>
      <c r="N4" s="168">
        <f>L4*(1+M4)-L4</f>
        <v>12000</v>
      </c>
      <c r="O4" s="105">
        <f>N4</f>
        <v>12000</v>
      </c>
      <c r="P4" s="108">
        <f t="shared" ref="P4:P33" si="1">L4+N4</f>
        <v>312000</v>
      </c>
      <c r="Q4" s="105">
        <f>P4*0.08</f>
        <v>24960</v>
      </c>
      <c r="R4" s="108">
        <f>'Interest Calculations'!E16</f>
        <v>235773.51256019506</v>
      </c>
      <c r="S4" s="105">
        <f t="shared" ref="S4:S33" si="2">P4-R4</f>
        <v>76226.487439804943</v>
      </c>
      <c r="T4" s="105">
        <f>K4</f>
        <v>3434.4394905947684</v>
      </c>
      <c r="U4" s="127">
        <f>'Analysis Worksheet'!F14</f>
        <v>69000</v>
      </c>
      <c r="V4" s="105">
        <f t="shared" ref="V4:V33" si="3">I4+N4+K4</f>
        <v>19660.926930399706</v>
      </c>
      <c r="W4" s="129">
        <f>H4/'Analysis Worksheet'!F5</f>
        <v>5.7279999999999998E-2</v>
      </c>
      <c r="X4" s="129">
        <f>V4/U4</f>
        <v>0.28494097000579283</v>
      </c>
      <c r="Y4" s="119">
        <f t="shared" ref="Y4:Y33" si="4">K4/U4</f>
        <v>4.9774485370938669E-2</v>
      </c>
      <c r="Z4" s="111">
        <f>V4/S4</f>
        <v>0.25792775701393406</v>
      </c>
      <c r="AA4" s="112">
        <f t="shared" ref="AA4:AA33" si="5">J4+O4+T4</f>
        <v>19660.926930399706</v>
      </c>
      <c r="AB4" s="110">
        <f t="shared" ref="AB4:AB33" si="6">AA4/U4</f>
        <v>0.28494097000579283</v>
      </c>
      <c r="AC4" s="105">
        <f t="shared" ref="AC4:AC33" si="7">J4+O4+T4-Q4</f>
        <v>-5299.0730696002938</v>
      </c>
      <c r="AD4" s="137">
        <f t="shared" ref="AD4:AD33" si="8">AC4/U4</f>
        <v>-7.6798160428989765E-2</v>
      </c>
      <c r="AE4" s="147">
        <f>-'Analysis Worksheet'!F14</f>
        <v>-69000</v>
      </c>
      <c r="AF4" s="139" t="s">
        <v>105</v>
      </c>
      <c r="AG4" s="139"/>
      <c r="AH4" s="139"/>
      <c r="AI4" s="140">
        <f>-'Analysis Worksheet'!F14</f>
        <v>-69000</v>
      </c>
      <c r="AJ4" s="139" t="s">
        <v>105</v>
      </c>
      <c r="AK4" s="139"/>
      <c r="AL4" s="139"/>
      <c r="AM4" s="165">
        <f>-'Analysis Worksheet'!F14</f>
        <v>-69000</v>
      </c>
      <c r="AN4" s="139" t="s">
        <v>105</v>
      </c>
      <c r="AO4" s="139"/>
      <c r="AP4" s="139"/>
      <c r="AQ4" s="140">
        <f>-'Analysis Worksheet'!F14</f>
        <v>-69000</v>
      </c>
      <c r="AR4" s="139" t="s">
        <v>105</v>
      </c>
      <c r="AS4" s="139"/>
      <c r="AT4" s="141"/>
      <c r="AU4" s="175"/>
    </row>
    <row r="5" spans="1:47" ht="15.75">
      <c r="A5" s="104">
        <v>2</v>
      </c>
      <c r="B5" s="106">
        <f>'Analysis Worksheet'!C57</f>
        <v>0.03</v>
      </c>
      <c r="C5" s="105">
        <f t="shared" ref="C5:C34" si="9">(C4*B5)+C4</f>
        <v>24720</v>
      </c>
      <c r="D5" s="107">
        <f>'Analysis Worksheet'!C28</f>
        <v>0.02</v>
      </c>
      <c r="E5" s="108">
        <f t="shared" si="0"/>
        <v>24225.599999999999</v>
      </c>
      <c r="F5" s="126">
        <f>'Analysis Worksheet'!C56</f>
        <v>1.4999999999999999E-2</v>
      </c>
      <c r="G5" s="117">
        <f>(G4*F4)+G4</f>
        <v>6431.04</v>
      </c>
      <c r="H5" s="105">
        <f t="shared" ref="H5:H33" si="10">E5-G5</f>
        <v>17794.559999999998</v>
      </c>
      <c r="I5" s="168">
        <f>'Interest Calculations'!G28</f>
        <v>4398.6810592336997</v>
      </c>
      <c r="J5" s="105">
        <f>I5+J4</f>
        <v>8625.1684990386366</v>
      </c>
      <c r="K5" s="108">
        <f>H5-'Analysis Worksheet'!G19</f>
        <v>4044.999490594766</v>
      </c>
      <c r="L5" s="109">
        <f>P4</f>
        <v>312000</v>
      </c>
      <c r="M5" s="126">
        <f>'Analysis Worksheet'!C58</f>
        <v>0.04</v>
      </c>
      <c r="N5" s="168">
        <f t="shared" ref="N5:N34" si="11">L5*(1+M5)-L5</f>
        <v>12480</v>
      </c>
      <c r="O5" s="105">
        <f>N5+O4</f>
        <v>24480</v>
      </c>
      <c r="P5" s="108">
        <f t="shared" si="1"/>
        <v>324480</v>
      </c>
      <c r="Q5" s="105">
        <f t="shared" ref="Q5:Q33" si="12">P5*0.08</f>
        <v>25958.400000000001</v>
      </c>
      <c r="R5" s="108">
        <f>'Interest Calculations'!E28</f>
        <v>231374.83150096136</v>
      </c>
      <c r="S5" s="105">
        <f t="shared" si="2"/>
        <v>93105.168499038642</v>
      </c>
      <c r="T5" s="105">
        <f t="shared" ref="T5:T33" si="13">T4+K5</f>
        <v>7479.4389811895344</v>
      </c>
      <c r="U5" s="105">
        <f>'Analysis Worksheet'!F14</f>
        <v>69000</v>
      </c>
      <c r="V5" s="105">
        <f t="shared" si="3"/>
        <v>20923.680549828467</v>
      </c>
      <c r="W5" s="119">
        <f>H5/'Analysis Worksheet'!F5</f>
        <v>5.9315199999999992E-2</v>
      </c>
      <c r="X5" s="119">
        <f t="shared" ref="X5:X33" si="14">V5/U5</f>
        <v>0.30324174709896329</v>
      </c>
      <c r="Y5" s="119">
        <f t="shared" si="4"/>
        <v>5.862318102311255E-2</v>
      </c>
      <c r="Z5" s="111">
        <f t="shared" ref="Z5:Z33" si="15">V5/S5</f>
        <v>0.22473167587946005</v>
      </c>
      <c r="AA5" s="112">
        <f t="shared" si="5"/>
        <v>40584.607480228166</v>
      </c>
      <c r="AB5" s="107">
        <f t="shared" si="6"/>
        <v>0.588182717104756</v>
      </c>
      <c r="AC5" s="105">
        <f t="shared" si="7"/>
        <v>14626.207480228164</v>
      </c>
      <c r="AD5" s="137">
        <f t="shared" si="8"/>
        <v>0.2119740214525821</v>
      </c>
      <c r="AE5" s="131">
        <f>K4+AH7</f>
        <v>54700.926930399713</v>
      </c>
      <c r="AF5" s="132" t="s">
        <v>106</v>
      </c>
      <c r="AG5" s="132" t="s">
        <v>107</v>
      </c>
      <c r="AH5" s="154">
        <f>P4</f>
        <v>312000</v>
      </c>
      <c r="AI5" s="135">
        <f>K4</f>
        <v>3434.4394905947684</v>
      </c>
      <c r="AJ5" s="132" t="s">
        <v>108</v>
      </c>
      <c r="AK5" s="132" t="s">
        <v>107</v>
      </c>
      <c r="AL5" s="154">
        <f>P8</f>
        <v>364995.87072000006</v>
      </c>
      <c r="AM5" s="164">
        <f t="shared" ref="AM5:AM13" si="16">K4</f>
        <v>3434.4394905947684</v>
      </c>
      <c r="AN5" s="132" t="s">
        <v>108</v>
      </c>
      <c r="AO5" s="132" t="s">
        <v>107</v>
      </c>
      <c r="AP5" s="154">
        <f>P13</f>
        <v>444073.2854755033</v>
      </c>
      <c r="AQ5" s="135">
        <f t="shared" ref="AQ5:AQ18" si="17">K4</f>
        <v>3434.4394905947684</v>
      </c>
      <c r="AR5" s="132" t="s">
        <v>108</v>
      </c>
      <c r="AS5" s="132" t="s">
        <v>107</v>
      </c>
      <c r="AT5" s="133">
        <f>P18</f>
        <v>540283.05165207502</v>
      </c>
      <c r="AU5" s="175"/>
    </row>
    <row r="6" spans="1:47" ht="15.75">
      <c r="A6" s="104">
        <v>3</v>
      </c>
      <c r="B6" s="106">
        <f>'Analysis Worksheet'!C57</f>
        <v>0.03</v>
      </c>
      <c r="C6" s="105">
        <f t="shared" si="9"/>
        <v>25461.599999999999</v>
      </c>
      <c r="D6" s="107">
        <f>'Analysis Worksheet'!C28</f>
        <v>0.02</v>
      </c>
      <c r="E6" s="108">
        <f t="shared" si="0"/>
        <v>24952.367999999999</v>
      </c>
      <c r="F6" s="126">
        <f>'Analysis Worksheet'!C56</f>
        <v>1.4999999999999999E-2</v>
      </c>
      <c r="G6" s="117">
        <f t="shared" ref="G6:G34" si="18">(G5*F5)+G5</f>
        <v>6527.5056000000004</v>
      </c>
      <c r="H6" s="105">
        <f t="shared" si="10"/>
        <v>18424.862399999998</v>
      </c>
      <c r="I6" s="168">
        <f>'Interest Calculations'!G40</f>
        <v>4577.8901123989363</v>
      </c>
      <c r="J6" s="105">
        <f t="shared" ref="J6:J33" si="19">I6+J5</f>
        <v>13203.058611437573</v>
      </c>
      <c r="K6" s="108">
        <f>H6-'Analysis Worksheet'!G19</f>
        <v>4675.3018905947665</v>
      </c>
      <c r="L6" s="105">
        <f t="shared" ref="L6:L34" si="20">P5</f>
        <v>324480</v>
      </c>
      <c r="M6" s="126">
        <f>'Analysis Worksheet'!C58</f>
        <v>0.04</v>
      </c>
      <c r="N6" s="168">
        <f t="shared" si="11"/>
        <v>12979.200000000012</v>
      </c>
      <c r="O6" s="105">
        <f t="shared" ref="O6:O33" si="21">N6+O5</f>
        <v>37459.200000000012</v>
      </c>
      <c r="P6" s="108">
        <f t="shared" si="1"/>
        <v>337459.20000000001</v>
      </c>
      <c r="Q6" s="105">
        <f t="shared" si="12"/>
        <v>26996.736000000001</v>
      </c>
      <c r="R6" s="108">
        <f>'Interest Calculations'!E40</f>
        <v>226796.94138856244</v>
      </c>
      <c r="S6" s="105">
        <f t="shared" si="2"/>
        <v>110662.25861143757</v>
      </c>
      <c r="T6" s="105">
        <f t="shared" si="13"/>
        <v>12154.740871784301</v>
      </c>
      <c r="U6" s="105">
        <f>'Analysis Worksheet'!F14</f>
        <v>69000</v>
      </c>
      <c r="V6" s="105">
        <f t="shared" si="3"/>
        <v>22232.392002993714</v>
      </c>
      <c r="W6" s="119">
        <f>H6/'Analysis Worksheet'!F5</f>
        <v>6.1416207999999993E-2</v>
      </c>
      <c r="X6" s="119">
        <f t="shared" si="14"/>
        <v>0.32220857975353212</v>
      </c>
      <c r="Y6" s="119">
        <f t="shared" si="4"/>
        <v>6.7757998414416903E-2</v>
      </c>
      <c r="Z6" s="111">
        <f t="shared" si="15"/>
        <v>0.20090311079820913</v>
      </c>
      <c r="AA6" s="112">
        <f t="shared" si="5"/>
        <v>62816.999483221887</v>
      </c>
      <c r="AB6" s="107">
        <f t="shared" si="6"/>
        <v>0.91039129685828823</v>
      </c>
      <c r="AC6" s="105">
        <f t="shared" si="7"/>
        <v>35820.26348322189</v>
      </c>
      <c r="AD6" s="137">
        <f t="shared" si="8"/>
        <v>0.51913425338002739</v>
      </c>
      <c r="AE6" s="131"/>
      <c r="AF6" s="132"/>
      <c r="AG6" s="132" t="s">
        <v>109</v>
      </c>
      <c r="AH6" s="154">
        <f>AH5*0.08</f>
        <v>24960</v>
      </c>
      <c r="AI6" s="135">
        <f>K5</f>
        <v>4044.999490594766</v>
      </c>
      <c r="AJ6" s="132" t="s">
        <v>110</v>
      </c>
      <c r="AK6" s="132" t="s">
        <v>109</v>
      </c>
      <c r="AL6" s="154">
        <f>Q9</f>
        <v>30367.656443904005</v>
      </c>
      <c r="AM6" s="164">
        <f t="shared" si="16"/>
        <v>4044.999490594766</v>
      </c>
      <c r="AN6" s="132" t="s">
        <v>110</v>
      </c>
      <c r="AO6" s="132" t="s">
        <v>109</v>
      </c>
      <c r="AP6" s="154">
        <f>Q14</f>
        <v>36946.897351561878</v>
      </c>
      <c r="AQ6" s="135">
        <f t="shared" si="17"/>
        <v>4044.999490594766</v>
      </c>
      <c r="AR6" s="132" t="s">
        <v>110</v>
      </c>
      <c r="AS6" s="132" t="s">
        <v>109</v>
      </c>
      <c r="AT6" s="133">
        <f>Q18</f>
        <v>43222.644132166002</v>
      </c>
      <c r="AU6" s="175"/>
    </row>
    <row r="7" spans="1:47" ht="15.75">
      <c r="A7" s="104">
        <v>4</v>
      </c>
      <c r="B7" s="106">
        <f>'Analysis Worksheet'!C57</f>
        <v>0.03</v>
      </c>
      <c r="C7" s="105">
        <f t="shared" si="9"/>
        <v>26225.447999999997</v>
      </c>
      <c r="D7" s="107">
        <f>'Analysis Worksheet'!C28</f>
        <v>0.02</v>
      </c>
      <c r="E7" s="108">
        <f t="shared" si="0"/>
        <v>25700.939039999997</v>
      </c>
      <c r="F7" s="126">
        <f>'Analysis Worksheet'!C56</f>
        <v>1.4999999999999999E-2</v>
      </c>
      <c r="G7" s="117">
        <f t="shared" si="18"/>
        <v>6625.4181840000001</v>
      </c>
      <c r="H7" s="105">
        <f t="shared" si="10"/>
        <v>19075.520855999996</v>
      </c>
      <c r="I7" s="168">
        <f>'Interest Calculations'!G52</f>
        <v>4764.4004188953186</v>
      </c>
      <c r="J7" s="105">
        <f t="shared" si="19"/>
        <v>17967.459030332891</v>
      </c>
      <c r="K7" s="108">
        <f>H7-'Analysis Worksheet'!G19</f>
        <v>5325.9603465947639</v>
      </c>
      <c r="L7" s="105">
        <f t="shared" si="20"/>
        <v>337459.20000000001</v>
      </c>
      <c r="M7" s="126">
        <f>'Analysis Worksheet'!C58</f>
        <v>0.04</v>
      </c>
      <c r="N7" s="168">
        <f t="shared" si="11"/>
        <v>13498.368000000017</v>
      </c>
      <c r="O7" s="105">
        <f t="shared" si="21"/>
        <v>50957.568000000028</v>
      </c>
      <c r="P7" s="108">
        <f t="shared" si="1"/>
        <v>350957.56800000003</v>
      </c>
      <c r="Q7" s="105">
        <f t="shared" si="12"/>
        <v>28076.605440000003</v>
      </c>
      <c r="R7" s="108">
        <f>'Interest Calculations'!E52</f>
        <v>222032.54096966711</v>
      </c>
      <c r="S7" s="105">
        <f t="shared" si="2"/>
        <v>128925.02703033292</v>
      </c>
      <c r="T7" s="105">
        <f t="shared" si="13"/>
        <v>17480.701218379065</v>
      </c>
      <c r="U7" s="105">
        <f>'Analysis Worksheet'!F14</f>
        <v>69000</v>
      </c>
      <c r="V7" s="105">
        <f t="shared" si="3"/>
        <v>23588.728765490101</v>
      </c>
      <c r="W7" s="119">
        <f>H7/'Analysis Worksheet'!F5</f>
        <v>6.3585069519999982E-2</v>
      </c>
      <c r="X7" s="119">
        <f t="shared" si="14"/>
        <v>0.34186563428246525</v>
      </c>
      <c r="Y7" s="119">
        <f t="shared" si="4"/>
        <v>7.7187831110069036E-2</v>
      </c>
      <c r="Z7" s="111">
        <f t="shared" si="15"/>
        <v>0.18296469901022591</v>
      </c>
      <c r="AA7" s="112">
        <f t="shared" si="5"/>
        <v>86405.728248711981</v>
      </c>
      <c r="AB7" s="107">
        <f t="shared" si="6"/>
        <v>1.2522569311407534</v>
      </c>
      <c r="AC7" s="105">
        <f t="shared" si="7"/>
        <v>58329.122808711982</v>
      </c>
      <c r="AD7" s="137">
        <f t="shared" si="8"/>
        <v>0.84534960592336206</v>
      </c>
      <c r="AE7" s="131"/>
      <c r="AF7" s="132"/>
      <c r="AG7" s="132" t="s">
        <v>111</v>
      </c>
      <c r="AH7" s="154">
        <f>AH5-AH6-R4</f>
        <v>51266.487439804943</v>
      </c>
      <c r="AI7" s="135">
        <f>K6</f>
        <v>4675.3018905947665</v>
      </c>
      <c r="AJ7" s="132" t="s">
        <v>112</v>
      </c>
      <c r="AK7" s="132" t="s">
        <v>111</v>
      </c>
      <c r="AL7" s="154">
        <f>AL5-AL6-R8</f>
        <v>117554.1827494778</v>
      </c>
      <c r="AM7" s="164">
        <f t="shared" si="16"/>
        <v>4675.3018905947665</v>
      </c>
      <c r="AN7" s="132" t="s">
        <v>112</v>
      </c>
      <c r="AO7" s="132" t="s">
        <v>111</v>
      </c>
      <c r="AP7" s="154">
        <f>AP5-AP6-R13</f>
        <v>218044.88601614651</v>
      </c>
      <c r="AQ7" s="135">
        <f t="shared" si="17"/>
        <v>4675.3018905947665</v>
      </c>
      <c r="AR7" s="132" t="s">
        <v>112</v>
      </c>
      <c r="AS7" s="132" t="s">
        <v>111</v>
      </c>
      <c r="AT7" s="133">
        <f>AT5-AT6-R18</f>
        <v>342157.68848832196</v>
      </c>
      <c r="AU7" s="175"/>
    </row>
    <row r="8" spans="1:47" s="121" customFormat="1" ht="15.75">
      <c r="A8" s="115">
        <v>5</v>
      </c>
      <c r="B8" s="106">
        <f>'Analysis Worksheet'!C57</f>
        <v>0.03</v>
      </c>
      <c r="C8" s="108">
        <f t="shared" si="9"/>
        <v>27012.211439999995</v>
      </c>
      <c r="D8" s="107">
        <f>'Analysis Worksheet'!C28</f>
        <v>0.02</v>
      </c>
      <c r="E8" s="108">
        <f t="shared" si="0"/>
        <v>26471.967211199997</v>
      </c>
      <c r="F8" s="126">
        <f>'Analysis Worksheet'!C56</f>
        <v>1.4999999999999999E-2</v>
      </c>
      <c r="G8" s="117">
        <f t="shared" si="18"/>
        <v>6724.7994567599999</v>
      </c>
      <c r="H8" s="108">
        <f t="shared" si="10"/>
        <v>19747.167754439997</v>
      </c>
      <c r="I8" s="108">
        <f>'Interest Calculations'!G64</f>
        <v>4958.5094430488061</v>
      </c>
      <c r="J8" s="108">
        <f t="shared" si="19"/>
        <v>22925.968473381698</v>
      </c>
      <c r="K8" s="108">
        <f>H8-'Analysis Worksheet'!G19</f>
        <v>5997.6072450347656</v>
      </c>
      <c r="L8" s="108">
        <f t="shared" si="20"/>
        <v>350957.56800000003</v>
      </c>
      <c r="M8" s="126">
        <f>'Analysis Worksheet'!C58</f>
        <v>0.04</v>
      </c>
      <c r="N8" s="108">
        <f t="shared" si="11"/>
        <v>14038.302720000036</v>
      </c>
      <c r="O8" s="108">
        <f t="shared" si="21"/>
        <v>64995.870720000064</v>
      </c>
      <c r="P8" s="108">
        <f t="shared" si="1"/>
        <v>364995.87072000006</v>
      </c>
      <c r="Q8" s="108">
        <f t="shared" si="12"/>
        <v>29199.669657600007</v>
      </c>
      <c r="R8" s="108">
        <f>'Interest Calculations'!E64</f>
        <v>217074.03152661829</v>
      </c>
      <c r="S8" s="108">
        <f t="shared" si="2"/>
        <v>147921.83919338178</v>
      </c>
      <c r="T8" s="108">
        <f t="shared" si="13"/>
        <v>23478.308463413829</v>
      </c>
      <c r="U8" s="108">
        <f>'Analysis Worksheet'!F14</f>
        <v>69000</v>
      </c>
      <c r="V8" s="108">
        <f t="shared" si="3"/>
        <v>24994.41940808361</v>
      </c>
      <c r="W8" s="129">
        <f>H8/'Analysis Worksheet'!F5</f>
        <v>6.5823892514799989E-2</v>
      </c>
      <c r="X8" s="119">
        <f t="shared" si="14"/>
        <v>0.36223796243599432</v>
      </c>
      <c r="Y8" s="119">
        <f t="shared" si="4"/>
        <v>8.6921844130938633E-2</v>
      </c>
      <c r="Z8" s="119">
        <f t="shared" si="15"/>
        <v>0.16897044780120538</v>
      </c>
      <c r="AA8" s="120">
        <f t="shared" si="5"/>
        <v>111400.1476567956</v>
      </c>
      <c r="AB8" s="118">
        <f t="shared" si="6"/>
        <v>1.6144948935767478</v>
      </c>
      <c r="AC8" s="108">
        <f t="shared" si="7"/>
        <v>82200.477999195587</v>
      </c>
      <c r="AD8" s="138">
        <f t="shared" si="8"/>
        <v>1.1913112753506607</v>
      </c>
      <c r="AE8" s="131"/>
      <c r="AF8" s="132"/>
      <c r="AG8" s="132"/>
      <c r="AH8" s="132"/>
      <c r="AI8" s="135">
        <f>K7</f>
        <v>5325.9603465947639</v>
      </c>
      <c r="AJ8" s="132" t="s">
        <v>113</v>
      </c>
      <c r="AK8" s="132"/>
      <c r="AL8" s="132"/>
      <c r="AM8" s="164">
        <f t="shared" si="16"/>
        <v>5325.9603465947639</v>
      </c>
      <c r="AN8" s="132" t="s">
        <v>113</v>
      </c>
      <c r="AO8" s="132"/>
      <c r="AP8" s="132"/>
      <c r="AQ8" s="135">
        <f t="shared" si="17"/>
        <v>5325.9603465947639</v>
      </c>
      <c r="AR8" s="132" t="s">
        <v>113</v>
      </c>
      <c r="AS8" s="132"/>
      <c r="AT8" s="134"/>
      <c r="AU8" s="176"/>
    </row>
    <row r="9" spans="1:47" ht="15.75">
      <c r="A9" s="104">
        <v>6</v>
      </c>
      <c r="B9" s="106">
        <f>'Analysis Worksheet'!C57</f>
        <v>0.03</v>
      </c>
      <c r="C9" s="105">
        <f t="shared" si="9"/>
        <v>27822.577783199995</v>
      </c>
      <c r="D9" s="107">
        <f>'Analysis Worksheet'!C28</f>
        <v>0.02</v>
      </c>
      <c r="E9" s="108">
        <f t="shared" si="0"/>
        <v>27266.126227535995</v>
      </c>
      <c r="F9" s="126">
        <f>'Analysis Worksheet'!C56</f>
        <v>1.4999999999999999E-2</v>
      </c>
      <c r="G9" s="117">
        <f t="shared" si="18"/>
        <v>6825.6714486113997</v>
      </c>
      <c r="H9" s="105">
        <f t="shared" si="10"/>
        <v>20440.454778924595</v>
      </c>
      <c r="I9" s="168">
        <f>'Interest Calculations'!G76</f>
        <v>5160.5267683409602</v>
      </c>
      <c r="J9" s="105">
        <f t="shared" si="19"/>
        <v>28086.49524172266</v>
      </c>
      <c r="K9" s="108">
        <f>H9-'Analysis Worksheet'!G19</f>
        <v>6690.8942695193637</v>
      </c>
      <c r="L9" s="109">
        <f t="shared" si="20"/>
        <v>364995.87072000006</v>
      </c>
      <c r="M9" s="126">
        <f>'Analysis Worksheet'!C58</f>
        <v>0.04</v>
      </c>
      <c r="N9" s="168">
        <f t="shared" si="11"/>
        <v>14599.834828799998</v>
      </c>
      <c r="O9" s="105">
        <f t="shared" si="21"/>
        <v>79595.705548800062</v>
      </c>
      <c r="P9" s="108">
        <f t="shared" si="1"/>
        <v>379595.70554880006</v>
      </c>
      <c r="Q9" s="105">
        <f t="shared" si="12"/>
        <v>30367.656443904005</v>
      </c>
      <c r="R9" s="108">
        <f>'Interest Calculations'!E76</f>
        <v>211913.50475827735</v>
      </c>
      <c r="S9" s="105">
        <f t="shared" si="2"/>
        <v>167682.20079052271</v>
      </c>
      <c r="T9" s="105">
        <f t="shared" si="13"/>
        <v>30169.20273293319</v>
      </c>
      <c r="U9" s="105">
        <f>'Analysis Worksheet'!F14</f>
        <v>69000</v>
      </c>
      <c r="V9" s="105">
        <f t="shared" si="3"/>
        <v>26451.255866660322</v>
      </c>
      <c r="W9" s="119">
        <f>H9/'Analysis Worksheet'!F5</f>
        <v>6.8134849263081984E-2</v>
      </c>
      <c r="X9" s="119">
        <f t="shared" si="14"/>
        <v>0.38335153429942498</v>
      </c>
      <c r="Y9" s="119">
        <f t="shared" si="4"/>
        <v>9.6969482166947299E-2</v>
      </c>
      <c r="Z9" s="111">
        <f t="shared" si="15"/>
        <v>0.15774635436533066</v>
      </c>
      <c r="AA9" s="112">
        <f t="shared" si="5"/>
        <v>137851.4035234559</v>
      </c>
      <c r="AB9" s="107">
        <f t="shared" si="6"/>
        <v>1.9978464278761725</v>
      </c>
      <c r="AC9" s="105">
        <f t="shared" si="7"/>
        <v>107483.74707955189</v>
      </c>
      <c r="AD9" s="137">
        <f t="shared" si="8"/>
        <v>1.557735464921042</v>
      </c>
      <c r="AE9" s="131"/>
      <c r="AF9" s="132"/>
      <c r="AG9" s="177"/>
      <c r="AH9" s="177"/>
      <c r="AI9" s="135">
        <f>K8+AL7</f>
        <v>123551.78999451257</v>
      </c>
      <c r="AJ9" s="132" t="s">
        <v>114</v>
      </c>
      <c r="AK9" s="177"/>
      <c r="AL9" s="177"/>
      <c r="AM9" s="164">
        <f t="shared" si="16"/>
        <v>5997.6072450347656</v>
      </c>
      <c r="AN9" s="132" t="s">
        <v>115</v>
      </c>
      <c r="AO9" s="177"/>
      <c r="AP9" s="177"/>
      <c r="AQ9" s="135">
        <f t="shared" si="17"/>
        <v>5997.6072450347656</v>
      </c>
      <c r="AR9" s="132" t="s">
        <v>115</v>
      </c>
      <c r="AS9" s="177"/>
      <c r="AT9" s="178"/>
      <c r="AU9" s="175"/>
    </row>
    <row r="10" spans="1:47" ht="15.75">
      <c r="A10" s="104">
        <v>7</v>
      </c>
      <c r="B10" s="106">
        <f>'Analysis Worksheet'!C57</f>
        <v>0.03</v>
      </c>
      <c r="C10" s="105">
        <f t="shared" si="9"/>
        <v>28657.255116695997</v>
      </c>
      <c r="D10" s="107">
        <f>'Analysis Worksheet'!C28</f>
        <v>0.02</v>
      </c>
      <c r="E10" s="108">
        <f t="shared" si="0"/>
        <v>28084.110014362075</v>
      </c>
      <c r="F10" s="126">
        <f>'Analysis Worksheet'!C56</f>
        <v>1.4999999999999999E-2</v>
      </c>
      <c r="G10" s="117">
        <f t="shared" si="18"/>
        <v>6928.0565203405704</v>
      </c>
      <c r="H10" s="105">
        <f t="shared" si="10"/>
        <v>21156.053494021504</v>
      </c>
      <c r="I10" s="168">
        <f>'Interest Calculations'!G88</f>
        <v>5370.7745911620477</v>
      </c>
      <c r="J10" s="105">
        <f t="shared" si="19"/>
        <v>33457.269832884704</v>
      </c>
      <c r="K10" s="108">
        <f>H10-'Analysis Worksheet'!G19</f>
        <v>7406.4929846162722</v>
      </c>
      <c r="L10" s="105">
        <f t="shared" si="20"/>
        <v>379595.70554880006</v>
      </c>
      <c r="M10" s="126">
        <f>'Analysis Worksheet'!C58</f>
        <v>0.04</v>
      </c>
      <c r="N10" s="168">
        <f t="shared" si="11"/>
        <v>15183.828221952019</v>
      </c>
      <c r="O10" s="105">
        <f t="shared" si="21"/>
        <v>94779.533770752081</v>
      </c>
      <c r="P10" s="108">
        <f t="shared" si="1"/>
        <v>394779.53377075208</v>
      </c>
      <c r="Q10" s="105">
        <f t="shared" si="12"/>
        <v>31582.362701660168</v>
      </c>
      <c r="R10" s="108">
        <f>'Interest Calculations'!E88</f>
        <v>206542.73016711528</v>
      </c>
      <c r="S10" s="105">
        <f t="shared" si="2"/>
        <v>188236.8036036368</v>
      </c>
      <c r="T10" s="105">
        <f t="shared" si="13"/>
        <v>37575.695717549461</v>
      </c>
      <c r="U10" s="105">
        <f>'Analysis Worksheet'!F14</f>
        <v>69000</v>
      </c>
      <c r="V10" s="105">
        <f t="shared" si="3"/>
        <v>27961.095797730341</v>
      </c>
      <c r="W10" s="119">
        <f>H10/'Analysis Worksheet'!F5</f>
        <v>7.0520178313405013E-2</v>
      </c>
      <c r="X10" s="119">
        <f t="shared" si="14"/>
        <v>0.40523327243087448</v>
      </c>
      <c r="Y10" s="119">
        <f t="shared" si="4"/>
        <v>0.10734047803791699</v>
      </c>
      <c r="Z10" s="111">
        <f t="shared" si="15"/>
        <v>0.14854213024466234</v>
      </c>
      <c r="AA10" s="112">
        <f t="shared" si="5"/>
        <v>165812.49932118625</v>
      </c>
      <c r="AB10" s="107">
        <f t="shared" si="6"/>
        <v>2.403079700307047</v>
      </c>
      <c r="AC10" s="105">
        <f t="shared" si="7"/>
        <v>134230.13661952608</v>
      </c>
      <c r="AD10" s="137">
        <f t="shared" si="8"/>
        <v>1.9453642988337112</v>
      </c>
      <c r="AE10" s="142"/>
      <c r="AF10" s="132"/>
      <c r="AG10" s="132"/>
      <c r="AH10" s="132"/>
      <c r="AI10" s="114"/>
      <c r="AJ10" s="132"/>
      <c r="AK10" s="132"/>
      <c r="AL10" s="132"/>
      <c r="AM10" s="164">
        <f t="shared" si="16"/>
        <v>6690.8942695193637</v>
      </c>
      <c r="AN10" s="132" t="s">
        <v>116</v>
      </c>
      <c r="AO10" s="132"/>
      <c r="AP10" s="132"/>
      <c r="AQ10" s="135">
        <f t="shared" si="17"/>
        <v>6690.8942695193637</v>
      </c>
      <c r="AR10" s="132" t="s">
        <v>116</v>
      </c>
      <c r="AS10" s="132"/>
      <c r="AT10" s="134"/>
      <c r="AU10" s="175"/>
    </row>
    <row r="11" spans="1:47" ht="15.75">
      <c r="A11" s="104">
        <v>8</v>
      </c>
      <c r="B11" s="106">
        <f>'Analysis Worksheet'!C57</f>
        <v>0.03</v>
      </c>
      <c r="C11" s="105">
        <f t="shared" si="9"/>
        <v>29516.972770196877</v>
      </c>
      <c r="D11" s="107">
        <f>'Analysis Worksheet'!C28</f>
        <v>0.02</v>
      </c>
      <c r="E11" s="108">
        <f t="shared" si="0"/>
        <v>28926.63331479294</v>
      </c>
      <c r="F11" s="126">
        <f>'Analysis Worksheet'!C56</f>
        <v>1.4999999999999999E-2</v>
      </c>
      <c r="G11" s="117">
        <f t="shared" si="18"/>
        <v>7031.9773681456791</v>
      </c>
      <c r="H11" s="105">
        <f t="shared" si="10"/>
        <v>21894.655946647261</v>
      </c>
      <c r="I11" s="168">
        <f>'Interest Calculations'!G100</f>
        <v>5589.5882346803901</v>
      </c>
      <c r="J11" s="105">
        <f t="shared" si="19"/>
        <v>39046.858067565096</v>
      </c>
      <c r="K11" s="108">
        <f>H11-'Analysis Worksheet'!G19</f>
        <v>8145.0954372420292</v>
      </c>
      <c r="L11" s="105">
        <f t="shared" si="20"/>
        <v>394779.53377075208</v>
      </c>
      <c r="M11" s="126">
        <f>'Analysis Worksheet'!C58</f>
        <v>0.04</v>
      </c>
      <c r="N11" s="168">
        <f t="shared" si="11"/>
        <v>15791.181350830069</v>
      </c>
      <c r="O11" s="105">
        <f t="shared" si="21"/>
        <v>110570.71512158215</v>
      </c>
      <c r="P11" s="108">
        <f t="shared" si="1"/>
        <v>410570.71512158215</v>
      </c>
      <c r="Q11" s="105">
        <f t="shared" si="12"/>
        <v>32845.657209726574</v>
      </c>
      <c r="R11" s="108">
        <f>'Interest Calculations'!E100</f>
        <v>200953.14193243493</v>
      </c>
      <c r="S11" s="105">
        <f t="shared" si="2"/>
        <v>209617.57318914722</v>
      </c>
      <c r="T11" s="105">
        <f t="shared" si="13"/>
        <v>45720.791154791492</v>
      </c>
      <c r="U11" s="105">
        <f>'Analysis Worksheet'!F14</f>
        <v>69000</v>
      </c>
      <c r="V11" s="105">
        <f t="shared" si="3"/>
        <v>29525.865022752492</v>
      </c>
      <c r="W11" s="119">
        <f>H11/'Analysis Worksheet'!F5</f>
        <v>7.2982186488824208E-2</v>
      </c>
      <c r="X11" s="119">
        <f t="shared" si="14"/>
        <v>0.42791108728626798</v>
      </c>
      <c r="Y11" s="119">
        <f t="shared" si="4"/>
        <v>0.11804486140930477</v>
      </c>
      <c r="Z11" s="111">
        <f t="shared" si="15"/>
        <v>0.14085586706086897</v>
      </c>
      <c r="AA11" s="112">
        <f t="shared" si="5"/>
        <v>195338.36434393874</v>
      </c>
      <c r="AB11" s="107">
        <f t="shared" si="6"/>
        <v>2.8309907875933149</v>
      </c>
      <c r="AC11" s="105">
        <f t="shared" si="7"/>
        <v>162492.70713421216</v>
      </c>
      <c r="AD11" s="137">
        <f t="shared" si="8"/>
        <v>2.3549667700610457</v>
      </c>
      <c r="AE11" s="155"/>
      <c r="AF11" s="157"/>
      <c r="AG11" s="157"/>
      <c r="AH11" s="157"/>
      <c r="AI11" s="114"/>
      <c r="AJ11" s="132"/>
      <c r="AK11" s="132"/>
      <c r="AL11" s="132"/>
      <c r="AM11" s="164">
        <f t="shared" si="16"/>
        <v>7406.4929846162722</v>
      </c>
      <c r="AN11" s="132" t="s">
        <v>117</v>
      </c>
      <c r="AO11" s="132"/>
      <c r="AP11" s="132"/>
      <c r="AQ11" s="135">
        <f t="shared" si="17"/>
        <v>7406.4929846162722</v>
      </c>
      <c r="AR11" s="132" t="s">
        <v>117</v>
      </c>
      <c r="AS11" s="132"/>
      <c r="AT11" s="134"/>
      <c r="AU11" s="175"/>
    </row>
    <row r="12" spans="1:47" ht="15.75">
      <c r="A12" s="104">
        <v>9</v>
      </c>
      <c r="B12" s="106">
        <f>'Analysis Worksheet'!C57</f>
        <v>0.03</v>
      </c>
      <c r="C12" s="105">
        <f t="shared" si="9"/>
        <v>30402.481953302784</v>
      </c>
      <c r="D12" s="107">
        <f>'Analysis Worksheet'!C28</f>
        <v>0.02</v>
      </c>
      <c r="E12" s="108">
        <f t="shared" si="0"/>
        <v>29794.432314236728</v>
      </c>
      <c r="F12" s="126">
        <f>'Analysis Worksheet'!C56</f>
        <v>1.4999999999999999E-2</v>
      </c>
      <c r="G12" s="117">
        <f t="shared" si="18"/>
        <v>7137.4570286678645</v>
      </c>
      <c r="H12" s="105">
        <f t="shared" si="10"/>
        <v>22656.975285568864</v>
      </c>
      <c r="I12" s="168">
        <f>'Interest Calculations'!G112</f>
        <v>5817.3166836475748</v>
      </c>
      <c r="J12" s="105">
        <f t="shared" si="19"/>
        <v>44864.174751212668</v>
      </c>
      <c r="K12" s="108">
        <f>H12-'Analysis Worksheet'!G19</f>
        <v>8907.4147761636323</v>
      </c>
      <c r="L12" s="105">
        <f t="shared" si="20"/>
        <v>410570.71512158215</v>
      </c>
      <c r="M12" s="126">
        <f>'Analysis Worksheet'!C58</f>
        <v>0.04</v>
      </c>
      <c r="N12" s="168">
        <f t="shared" si="11"/>
        <v>16422.828604863316</v>
      </c>
      <c r="O12" s="105">
        <f t="shared" si="21"/>
        <v>126993.54372644547</v>
      </c>
      <c r="P12" s="108">
        <f t="shared" si="1"/>
        <v>426993.54372644547</v>
      </c>
      <c r="Q12" s="105">
        <f t="shared" si="12"/>
        <v>34159.483498115638</v>
      </c>
      <c r="R12" s="108">
        <f>'Interest Calculations'!E112</f>
        <v>195135.82524878735</v>
      </c>
      <c r="S12" s="105">
        <f t="shared" si="2"/>
        <v>231857.71847765811</v>
      </c>
      <c r="T12" s="105">
        <f t="shared" si="13"/>
        <v>54628.205930955126</v>
      </c>
      <c r="U12" s="105">
        <f>'Analysis Worksheet'!F14</f>
        <v>69000</v>
      </c>
      <c r="V12" s="105">
        <f t="shared" si="3"/>
        <v>31147.560064674522</v>
      </c>
      <c r="W12" s="119">
        <f>H12/'Analysis Worksheet'!F5</f>
        <v>7.5523250951896215E-2</v>
      </c>
      <c r="X12" s="119">
        <f t="shared" si="14"/>
        <v>0.45141391398079017</v>
      </c>
      <c r="Y12" s="119">
        <f t="shared" si="4"/>
        <v>0.12909296777048743</v>
      </c>
      <c r="Z12" s="111">
        <f t="shared" si="15"/>
        <v>0.13433911223307371</v>
      </c>
      <c r="AA12" s="112">
        <f t="shared" si="5"/>
        <v>226485.92440861327</v>
      </c>
      <c r="AB12" s="107">
        <f t="shared" si="6"/>
        <v>3.2824047015741051</v>
      </c>
      <c r="AC12" s="105">
        <f t="shared" si="7"/>
        <v>192326.44091049762</v>
      </c>
      <c r="AD12" s="137">
        <f t="shared" si="8"/>
        <v>2.787339723340545</v>
      </c>
      <c r="AE12" s="155"/>
      <c r="AF12" s="157"/>
      <c r="AG12" s="157"/>
      <c r="AH12" s="157"/>
      <c r="AI12" s="114"/>
      <c r="AJ12" s="132"/>
      <c r="AK12" s="132"/>
      <c r="AL12" s="132"/>
      <c r="AM12" s="164">
        <f t="shared" si="16"/>
        <v>8145.0954372420292</v>
      </c>
      <c r="AN12" s="132" t="s">
        <v>118</v>
      </c>
      <c r="AO12" s="132"/>
      <c r="AP12" s="132"/>
      <c r="AQ12" s="135">
        <f t="shared" si="17"/>
        <v>8145.0954372420292</v>
      </c>
      <c r="AR12" s="132" t="s">
        <v>118</v>
      </c>
      <c r="AS12" s="132"/>
      <c r="AT12" s="134"/>
      <c r="AU12" s="175"/>
    </row>
    <row r="13" spans="1:47" s="121" customFormat="1" ht="15.75">
      <c r="A13" s="115">
        <v>10</v>
      </c>
      <c r="B13" s="106">
        <f>'Analysis Worksheet'!C57</f>
        <v>0.03</v>
      </c>
      <c r="C13" s="108">
        <f t="shared" si="9"/>
        <v>31314.556411901867</v>
      </c>
      <c r="D13" s="107">
        <f>'Analysis Worksheet'!C28</f>
        <v>0.02</v>
      </c>
      <c r="E13" s="108">
        <f t="shared" si="0"/>
        <v>30688.26528366383</v>
      </c>
      <c r="F13" s="126">
        <f>'Analysis Worksheet'!C56</f>
        <v>1.4999999999999999E-2</v>
      </c>
      <c r="G13" s="117">
        <f t="shared" si="18"/>
        <v>7244.5188840978826</v>
      </c>
      <c r="H13" s="108">
        <f t="shared" si="10"/>
        <v>23443.746399565949</v>
      </c>
      <c r="I13" s="108">
        <f>'Interest Calculations'!G124</f>
        <v>6054.3231409924101</v>
      </c>
      <c r="J13" s="108">
        <f t="shared" si="19"/>
        <v>50918.49789220508</v>
      </c>
      <c r="K13" s="108">
        <f>H13-'Analysis Worksheet'!G19</f>
        <v>9694.1858901607175</v>
      </c>
      <c r="L13" s="108">
        <f t="shared" si="20"/>
        <v>426993.54372644547</v>
      </c>
      <c r="M13" s="126">
        <f>'Analysis Worksheet'!C58</f>
        <v>0.04</v>
      </c>
      <c r="N13" s="108">
        <f t="shared" si="11"/>
        <v>17079.741749057837</v>
      </c>
      <c r="O13" s="108">
        <f t="shared" si="21"/>
        <v>144073.2854755033</v>
      </c>
      <c r="P13" s="108">
        <f t="shared" si="1"/>
        <v>444073.2854755033</v>
      </c>
      <c r="Q13" s="108">
        <f t="shared" si="12"/>
        <v>35525.862838040266</v>
      </c>
      <c r="R13" s="108">
        <f>'Interest Calculations'!E124</f>
        <v>189081.50210779492</v>
      </c>
      <c r="S13" s="108">
        <f t="shared" si="2"/>
        <v>254991.78336770838</v>
      </c>
      <c r="T13" s="108">
        <f t="shared" si="13"/>
        <v>64322.391821115845</v>
      </c>
      <c r="U13" s="108">
        <f>'Analysis Worksheet'!F14</f>
        <v>69000</v>
      </c>
      <c r="V13" s="108">
        <f t="shared" si="3"/>
        <v>32828.250780210969</v>
      </c>
      <c r="W13" s="119">
        <f>H13/'Analysis Worksheet'!F5</f>
        <v>7.8145821331886495E-2</v>
      </c>
      <c r="X13" s="119">
        <f t="shared" si="14"/>
        <v>0.47577175043784015</v>
      </c>
      <c r="Y13" s="119">
        <f t="shared" si="4"/>
        <v>0.14049544768348865</v>
      </c>
      <c r="Z13" s="119">
        <f t="shared" si="15"/>
        <v>0.12874238670220725</v>
      </c>
      <c r="AA13" s="120">
        <f t="shared" si="5"/>
        <v>259314.17518882424</v>
      </c>
      <c r="AB13" s="116">
        <f t="shared" si="6"/>
        <v>3.7581764520119454</v>
      </c>
      <c r="AC13" s="108">
        <f t="shared" si="7"/>
        <v>223788.31235078396</v>
      </c>
      <c r="AD13" s="138">
        <f t="shared" si="8"/>
        <v>3.2433088746490428</v>
      </c>
      <c r="AE13" s="155"/>
      <c r="AF13" s="157"/>
      <c r="AG13" s="157"/>
      <c r="AH13" s="157"/>
      <c r="AI13" s="114"/>
      <c r="AJ13" s="132"/>
      <c r="AK13" s="132"/>
      <c r="AL13" s="132"/>
      <c r="AM13" s="164">
        <f t="shared" si="16"/>
        <v>8907.4147761636323</v>
      </c>
      <c r="AN13" s="132" t="s">
        <v>119</v>
      </c>
      <c r="AO13" s="132"/>
      <c r="AP13" s="132"/>
      <c r="AQ13" s="135">
        <f t="shared" si="17"/>
        <v>8907.4147761636323</v>
      </c>
      <c r="AR13" s="132" t="s">
        <v>119</v>
      </c>
      <c r="AS13" s="132"/>
      <c r="AT13" s="134"/>
      <c r="AU13" s="176"/>
    </row>
    <row r="14" spans="1:47" ht="15.75">
      <c r="A14" s="104">
        <v>11</v>
      </c>
      <c r="B14" s="106">
        <f>'Analysis Worksheet'!C57</f>
        <v>0.03</v>
      </c>
      <c r="C14" s="105">
        <f t="shared" si="9"/>
        <v>32253.993104258923</v>
      </c>
      <c r="D14" s="107">
        <f>'Analysis Worksheet'!C28</f>
        <v>0.02</v>
      </c>
      <c r="E14" s="108">
        <f t="shared" si="0"/>
        <v>31608.913242173745</v>
      </c>
      <c r="F14" s="126">
        <f>'Analysis Worksheet'!C56</f>
        <v>1.4999999999999999E-2</v>
      </c>
      <c r="G14" s="117">
        <f t="shared" si="18"/>
        <v>7353.1866673593504</v>
      </c>
      <c r="H14" s="105">
        <f t="shared" si="10"/>
        <v>24255.726574814395</v>
      </c>
      <c r="I14" s="168">
        <f>'Interest Calculations'!G136</f>
        <v>6300.9856070914275</v>
      </c>
      <c r="J14" s="105">
        <f t="shared" si="19"/>
        <v>57219.483499296504</v>
      </c>
      <c r="K14" s="108">
        <f>H14-'Analysis Worksheet'!G19</f>
        <v>10506.166065409163</v>
      </c>
      <c r="L14" s="105">
        <f t="shared" si="20"/>
        <v>444073.2854755033</v>
      </c>
      <c r="M14" s="126">
        <f>'Analysis Worksheet'!C58</f>
        <v>0.04</v>
      </c>
      <c r="N14" s="168">
        <f t="shared" si="11"/>
        <v>17762.931419020169</v>
      </c>
      <c r="O14" s="105">
        <f t="shared" si="21"/>
        <v>161836.21689452347</v>
      </c>
      <c r="P14" s="108">
        <f t="shared" si="1"/>
        <v>461836.21689452347</v>
      </c>
      <c r="Q14" s="105">
        <f t="shared" si="12"/>
        <v>36946.897351561878</v>
      </c>
      <c r="R14" s="108">
        <f>'Interest Calculations'!E136</f>
        <v>182780.5165007035</v>
      </c>
      <c r="S14" s="105">
        <f t="shared" si="2"/>
        <v>279055.70039381995</v>
      </c>
      <c r="T14" s="105">
        <f t="shared" si="13"/>
        <v>74828.557886525014</v>
      </c>
      <c r="U14" s="105">
        <f>'Analysis Worksheet'!F14</f>
        <v>69000</v>
      </c>
      <c r="V14" s="105">
        <f t="shared" si="3"/>
        <v>34570.083091520763</v>
      </c>
      <c r="W14" s="119">
        <f>H14/'Analysis Worksheet'!F5</f>
        <v>8.0852421916047981E-2</v>
      </c>
      <c r="X14" s="119">
        <f t="shared" si="14"/>
        <v>0.50101569697856174</v>
      </c>
      <c r="Y14" s="119">
        <f t="shared" si="4"/>
        <v>0.15226327631027772</v>
      </c>
      <c r="Z14" s="111">
        <f t="shared" si="15"/>
        <v>0.1238823756072118</v>
      </c>
      <c r="AA14" s="112">
        <f t="shared" si="5"/>
        <v>293884.25828034501</v>
      </c>
      <c r="AB14" s="107">
        <f t="shared" si="6"/>
        <v>4.2591921489905076</v>
      </c>
      <c r="AC14" s="105">
        <f t="shared" si="7"/>
        <v>256937.36092878314</v>
      </c>
      <c r="AD14" s="137">
        <f t="shared" si="8"/>
        <v>3.7237298685330891</v>
      </c>
      <c r="AE14" s="155"/>
      <c r="AF14" s="157"/>
      <c r="AG14" s="157"/>
      <c r="AH14" s="157"/>
      <c r="AI14" s="114"/>
      <c r="AJ14" s="132"/>
      <c r="AK14" s="132"/>
      <c r="AL14" s="132"/>
      <c r="AM14" s="164">
        <f>K13+AP7</f>
        <v>227739.07190630722</v>
      </c>
      <c r="AN14" s="132" t="s">
        <v>120</v>
      </c>
      <c r="AO14" s="132"/>
      <c r="AP14" s="132"/>
      <c r="AQ14" s="135">
        <f t="shared" si="17"/>
        <v>9694.1858901607175</v>
      </c>
      <c r="AR14" s="132" t="s">
        <v>121</v>
      </c>
      <c r="AS14" s="132"/>
      <c r="AT14" s="134"/>
      <c r="AU14" s="175"/>
    </row>
    <row r="15" spans="1:47" ht="15.75">
      <c r="A15" s="104">
        <v>12</v>
      </c>
      <c r="B15" s="106">
        <f>'Analysis Worksheet'!C57</f>
        <v>0.03</v>
      </c>
      <c r="C15" s="105">
        <f t="shared" si="9"/>
        <v>33221.612897386694</v>
      </c>
      <c r="D15" s="107">
        <f>'Analysis Worksheet'!C28</f>
        <v>0.02</v>
      </c>
      <c r="E15" s="108">
        <f t="shared" si="0"/>
        <v>32557.18063943896</v>
      </c>
      <c r="F15" s="126">
        <f>'Analysis Worksheet'!C56</f>
        <v>1.4999999999999999E-2</v>
      </c>
      <c r="G15" s="117">
        <f t="shared" si="18"/>
        <v>7463.4844673697407</v>
      </c>
      <c r="H15" s="105">
        <f t="shared" si="10"/>
        <v>25093.69617206922</v>
      </c>
      <c r="I15" s="168">
        <f>'Interest Calculations'!G148</f>
        <v>6557.6974826397191</v>
      </c>
      <c r="J15" s="105">
        <f t="shared" si="19"/>
        <v>63777.180981936224</v>
      </c>
      <c r="K15" s="108">
        <f>H15-'Analysis Worksheet'!G19</f>
        <v>11344.135662663988</v>
      </c>
      <c r="L15" s="105">
        <f t="shared" si="20"/>
        <v>461836.21689452347</v>
      </c>
      <c r="M15" s="126">
        <f>'Analysis Worksheet'!C58</f>
        <v>0.04</v>
      </c>
      <c r="N15" s="168">
        <f t="shared" si="11"/>
        <v>18473.448675780965</v>
      </c>
      <c r="O15" s="105">
        <f t="shared" si="21"/>
        <v>180309.66557030444</v>
      </c>
      <c r="P15" s="108">
        <f t="shared" si="1"/>
        <v>480309.66557030444</v>
      </c>
      <c r="Q15" s="105">
        <f t="shared" si="12"/>
        <v>38424.773245624354</v>
      </c>
      <c r="R15" s="108">
        <f>'Interest Calculations'!E148</f>
        <v>176222.81901806378</v>
      </c>
      <c r="S15" s="105">
        <f t="shared" si="2"/>
        <v>304086.84655224066</v>
      </c>
      <c r="T15" s="105">
        <f t="shared" si="13"/>
        <v>86172.693549189004</v>
      </c>
      <c r="U15" s="105">
        <f>'Analysis Worksheet'!F14</f>
        <v>69000</v>
      </c>
      <c r="V15" s="105">
        <f t="shared" si="3"/>
        <v>36375.281821084674</v>
      </c>
      <c r="W15" s="119">
        <f>H15/'Analysis Worksheet'!F5</f>
        <v>8.3645653906897405E-2</v>
      </c>
      <c r="X15" s="119">
        <f t="shared" si="14"/>
        <v>0.52717799740702431</v>
      </c>
      <c r="Y15" s="119">
        <f t="shared" si="4"/>
        <v>0.16440776322701431</v>
      </c>
      <c r="Z15" s="111">
        <f t="shared" si="15"/>
        <v>0.11962135894238876</v>
      </c>
      <c r="AA15" s="112">
        <f t="shared" si="5"/>
        <v>330259.54010142968</v>
      </c>
      <c r="AB15" s="107">
        <f t="shared" si="6"/>
        <v>4.7863701463975312</v>
      </c>
      <c r="AC15" s="105">
        <f t="shared" si="7"/>
        <v>291834.7668558053</v>
      </c>
      <c r="AD15" s="137">
        <f t="shared" si="8"/>
        <v>4.2294893747218163</v>
      </c>
      <c r="AE15" s="155"/>
      <c r="AF15" s="157"/>
      <c r="AG15" s="157"/>
      <c r="AH15" s="157"/>
      <c r="AI15" s="114"/>
      <c r="AJ15" s="132"/>
      <c r="AK15" s="132"/>
      <c r="AL15" s="132"/>
      <c r="AM15" s="114"/>
      <c r="AN15" s="132"/>
      <c r="AO15" s="132"/>
      <c r="AP15" s="132"/>
      <c r="AQ15" s="135">
        <f t="shared" si="17"/>
        <v>10506.166065409163</v>
      </c>
      <c r="AR15" s="132" t="s">
        <v>122</v>
      </c>
      <c r="AS15" s="132"/>
      <c r="AT15" s="134"/>
      <c r="AU15" s="175"/>
    </row>
    <row r="16" spans="1:47" ht="15.75">
      <c r="A16" s="104">
        <v>13</v>
      </c>
      <c r="B16" s="106">
        <f>'Analysis Worksheet'!C57</f>
        <v>0.03</v>
      </c>
      <c r="C16" s="105">
        <f t="shared" si="9"/>
        <v>34218.261284308297</v>
      </c>
      <c r="D16" s="107">
        <f>'Analysis Worksheet'!C28</f>
        <v>0.02</v>
      </c>
      <c r="E16" s="108">
        <f t="shared" si="0"/>
        <v>33533.896058622129</v>
      </c>
      <c r="F16" s="126">
        <f>'Analysis Worksheet'!C56</f>
        <v>1.4999999999999999E-2</v>
      </c>
      <c r="G16" s="117">
        <f t="shared" si="18"/>
        <v>7575.4367343802869</v>
      </c>
      <c r="H16" s="105">
        <f t="shared" si="10"/>
        <v>25958.459324241841</v>
      </c>
      <c r="I16" s="168">
        <f>'Interest Calculations'!G160</f>
        <v>6824.8681960836821</v>
      </c>
      <c r="J16" s="105">
        <f t="shared" si="19"/>
        <v>70602.049178019908</v>
      </c>
      <c r="K16" s="108">
        <f>H16-'Analysis Worksheet'!G19</f>
        <v>12208.89881483661</v>
      </c>
      <c r="L16" s="105">
        <f t="shared" si="20"/>
        <v>480309.66557030444</v>
      </c>
      <c r="M16" s="126">
        <f>'Analysis Worksheet'!C58</f>
        <v>0.04</v>
      </c>
      <c r="N16" s="168">
        <f t="shared" si="11"/>
        <v>19212.386622812191</v>
      </c>
      <c r="O16" s="105">
        <f t="shared" si="21"/>
        <v>199522.05219311663</v>
      </c>
      <c r="P16" s="108">
        <f t="shared" si="1"/>
        <v>499522.05219311663</v>
      </c>
      <c r="Q16" s="105">
        <f t="shared" si="12"/>
        <v>39961.764175449331</v>
      </c>
      <c r="R16" s="108">
        <f>'Interest Calculations'!E160</f>
        <v>169397.95082198008</v>
      </c>
      <c r="S16" s="105">
        <f t="shared" si="2"/>
        <v>330124.10137113655</v>
      </c>
      <c r="T16" s="105">
        <f t="shared" si="13"/>
        <v>98381.592364025608</v>
      </c>
      <c r="U16" s="105">
        <f>'Analysis Worksheet'!F14</f>
        <v>69000</v>
      </c>
      <c r="V16" s="105">
        <f t="shared" si="3"/>
        <v>38246.153633732487</v>
      </c>
      <c r="W16" s="119">
        <f>H16/'Analysis Worksheet'!F5</f>
        <v>8.6528197747472807E-2</v>
      </c>
      <c r="X16" s="119">
        <f t="shared" si="14"/>
        <v>0.55429208164829691</v>
      </c>
      <c r="Y16" s="119">
        <f t="shared" si="4"/>
        <v>0.17694056253386392</v>
      </c>
      <c r="Z16" s="111">
        <f t="shared" si="15"/>
        <v>0.11585386669704216</v>
      </c>
      <c r="AA16" s="112">
        <f t="shared" si="5"/>
        <v>368505.69373516215</v>
      </c>
      <c r="AB16" s="107">
        <f t="shared" si="6"/>
        <v>5.3406622280458285</v>
      </c>
      <c r="AC16" s="105">
        <f t="shared" si="7"/>
        <v>328543.92955971282</v>
      </c>
      <c r="AD16" s="137">
        <f t="shared" si="8"/>
        <v>4.7615062255030844</v>
      </c>
      <c r="AE16" s="155"/>
      <c r="AF16" s="157"/>
      <c r="AG16" s="157"/>
      <c r="AH16" s="157"/>
      <c r="AI16" s="114"/>
      <c r="AJ16" s="132"/>
      <c r="AK16" s="132"/>
      <c r="AL16" s="132"/>
      <c r="AM16" s="114"/>
      <c r="AN16" s="132"/>
      <c r="AO16" s="132"/>
      <c r="AP16" s="132"/>
      <c r="AQ16" s="135">
        <f t="shared" si="17"/>
        <v>11344.135662663988</v>
      </c>
      <c r="AR16" s="132" t="s">
        <v>123</v>
      </c>
      <c r="AS16" s="132"/>
      <c r="AT16" s="134"/>
      <c r="AU16" s="175"/>
    </row>
    <row r="17" spans="1:47" ht="15.75">
      <c r="A17" s="104">
        <v>14</v>
      </c>
      <c r="B17" s="106">
        <f>'Analysis Worksheet'!C57</f>
        <v>0.03</v>
      </c>
      <c r="C17" s="105">
        <f t="shared" si="9"/>
        <v>35244.809122837549</v>
      </c>
      <c r="D17" s="107">
        <f>'Analysis Worksheet'!C28</f>
        <v>0.02</v>
      </c>
      <c r="E17" s="108">
        <f t="shared" si="0"/>
        <v>34539.912940380796</v>
      </c>
      <c r="F17" s="126">
        <f>'Analysis Worksheet'!C56</f>
        <v>1.4999999999999999E-2</v>
      </c>
      <c r="G17" s="117">
        <f t="shared" si="18"/>
        <v>7689.0682853959916</v>
      </c>
      <c r="H17" s="105">
        <f t="shared" si="10"/>
        <v>26850.844654984805</v>
      </c>
      <c r="I17" s="168">
        <f>'Interest Calculations'!G172</f>
        <v>7102.9238566163349</v>
      </c>
      <c r="J17" s="105">
        <f t="shared" si="19"/>
        <v>77704.973034636248</v>
      </c>
      <c r="K17" s="108">
        <f>H17-'Analysis Worksheet'!G19</f>
        <v>13101.284145579573</v>
      </c>
      <c r="L17" s="105">
        <f t="shared" si="20"/>
        <v>499522.05219311663</v>
      </c>
      <c r="M17" s="126">
        <f>'Analysis Worksheet'!C58</f>
        <v>0.04</v>
      </c>
      <c r="N17" s="168">
        <f t="shared" si="11"/>
        <v>19980.882087724691</v>
      </c>
      <c r="O17" s="105">
        <f t="shared" si="21"/>
        <v>219502.93428084132</v>
      </c>
      <c r="P17" s="108">
        <f t="shared" si="1"/>
        <v>519502.93428084132</v>
      </c>
      <c r="Q17" s="105">
        <f t="shared" si="12"/>
        <v>41560.234742467306</v>
      </c>
      <c r="R17" s="108">
        <f>'Interest Calculations'!E172</f>
        <v>162295.02696536377</v>
      </c>
      <c r="S17" s="105">
        <f t="shared" si="2"/>
        <v>357207.90731547755</v>
      </c>
      <c r="T17" s="105">
        <f t="shared" si="13"/>
        <v>111482.87650960518</v>
      </c>
      <c r="U17" s="105">
        <f>'Analysis Worksheet'!F14</f>
        <v>69000</v>
      </c>
      <c r="V17" s="105">
        <f t="shared" si="3"/>
        <v>40185.090089920595</v>
      </c>
      <c r="W17" s="119">
        <f>H17/'Analysis Worksheet'!F5</f>
        <v>8.9502815516616013E-2</v>
      </c>
      <c r="X17" s="119">
        <f t="shared" si="14"/>
        <v>0.58239260999884923</v>
      </c>
      <c r="Y17" s="119">
        <f t="shared" si="4"/>
        <v>0.18987368326926918</v>
      </c>
      <c r="Z17" s="111">
        <f t="shared" si="15"/>
        <v>0.11249776185505904</v>
      </c>
      <c r="AA17" s="112">
        <f t="shared" si="5"/>
        <v>408690.7838250827</v>
      </c>
      <c r="AB17" s="107">
        <f t="shared" si="6"/>
        <v>5.9230548380446768</v>
      </c>
      <c r="AC17" s="105">
        <f t="shared" si="7"/>
        <v>367130.54908261541</v>
      </c>
      <c r="AD17" s="137">
        <f t="shared" si="8"/>
        <v>5.3207325954002238</v>
      </c>
      <c r="AE17" s="155"/>
      <c r="AF17" s="157"/>
      <c r="AG17" s="157"/>
      <c r="AH17" s="157"/>
      <c r="AI17" s="114"/>
      <c r="AJ17" s="132"/>
      <c r="AK17" s="132"/>
      <c r="AL17" s="132"/>
      <c r="AM17" s="114"/>
      <c r="AN17" s="132"/>
      <c r="AO17" s="132"/>
      <c r="AP17" s="132"/>
      <c r="AQ17" s="135">
        <f t="shared" si="17"/>
        <v>12208.89881483661</v>
      </c>
      <c r="AR17" s="132" t="s">
        <v>124</v>
      </c>
      <c r="AS17" s="132"/>
      <c r="AT17" s="134"/>
      <c r="AU17" s="175"/>
    </row>
    <row r="18" spans="1:47" s="121" customFormat="1" ht="15.75">
      <c r="A18" s="115">
        <v>15</v>
      </c>
      <c r="B18" s="106">
        <f>'Analysis Worksheet'!C57</f>
        <v>0.03</v>
      </c>
      <c r="C18" s="108">
        <f t="shared" si="9"/>
        <v>36302.153396522677</v>
      </c>
      <c r="D18" s="107">
        <f>'Analysis Worksheet'!C28</f>
        <v>0.02</v>
      </c>
      <c r="E18" s="108">
        <f t="shared" si="0"/>
        <v>35576.110328592222</v>
      </c>
      <c r="F18" s="126">
        <f>'Analysis Worksheet'!C56</f>
        <v>1.4999999999999999E-2</v>
      </c>
      <c r="G18" s="117">
        <f t="shared" si="18"/>
        <v>7804.404309676931</v>
      </c>
      <c r="H18" s="108">
        <f t="shared" si="10"/>
        <v>27771.706018915291</v>
      </c>
      <c r="I18" s="108">
        <f>'Interest Calculations'!G184</f>
        <v>7392.3079337766649</v>
      </c>
      <c r="J18" s="108">
        <f t="shared" si="19"/>
        <v>85097.280968412917</v>
      </c>
      <c r="K18" s="108">
        <f>H18-'Analysis Worksheet'!G19</f>
        <v>14022.145509510059</v>
      </c>
      <c r="L18" s="108">
        <f t="shared" si="20"/>
        <v>519502.93428084132</v>
      </c>
      <c r="M18" s="126">
        <f>'Analysis Worksheet'!C58</f>
        <v>0.04</v>
      </c>
      <c r="N18" s="108">
        <f t="shared" si="11"/>
        <v>20780.117371233704</v>
      </c>
      <c r="O18" s="108">
        <f t="shared" si="21"/>
        <v>240283.05165207502</v>
      </c>
      <c r="P18" s="108">
        <f t="shared" si="1"/>
        <v>540283.05165207502</v>
      </c>
      <c r="Q18" s="108">
        <f t="shared" si="12"/>
        <v>43222.644132166002</v>
      </c>
      <c r="R18" s="108">
        <f>'Interest Calculations'!E184</f>
        <v>154902.7190315871</v>
      </c>
      <c r="S18" s="108">
        <f t="shared" si="2"/>
        <v>385380.3326204879</v>
      </c>
      <c r="T18" s="108">
        <f t="shared" si="13"/>
        <v>125505.02201911523</v>
      </c>
      <c r="U18" s="108">
        <f>'Analysis Worksheet'!F14</f>
        <v>69000</v>
      </c>
      <c r="V18" s="108">
        <f t="shared" si="3"/>
        <v>42194.570814520426</v>
      </c>
      <c r="W18" s="129">
        <f>H18/'Analysis Worksheet'!F5</f>
        <v>9.2572353396384296E-2</v>
      </c>
      <c r="X18" s="119">
        <f t="shared" si="14"/>
        <v>0.61151551905102064</v>
      </c>
      <c r="Y18" s="119">
        <f t="shared" si="4"/>
        <v>0.20321950013782694</v>
      </c>
      <c r="Z18" s="119">
        <f t="shared" si="15"/>
        <v>0.10948812703442366</v>
      </c>
      <c r="AA18" s="120">
        <f t="shared" si="5"/>
        <v>450885.35463960317</v>
      </c>
      <c r="AB18" s="118">
        <f t="shared" si="6"/>
        <v>6.5345703570956983</v>
      </c>
      <c r="AC18" s="108">
        <f t="shared" si="7"/>
        <v>407662.71050743718</v>
      </c>
      <c r="AD18" s="138">
        <f t="shared" si="8"/>
        <v>5.9081552247454665</v>
      </c>
      <c r="AE18" s="155"/>
      <c r="AF18" s="157"/>
      <c r="AG18" s="157"/>
      <c r="AH18" s="157"/>
      <c r="AI18" s="114"/>
      <c r="AJ18" s="132"/>
      <c r="AK18" s="132"/>
      <c r="AL18" s="132"/>
      <c r="AM18" s="114"/>
      <c r="AN18" s="132"/>
      <c r="AO18" s="132"/>
      <c r="AP18" s="132"/>
      <c r="AQ18" s="135">
        <f t="shared" si="17"/>
        <v>13101.284145579573</v>
      </c>
      <c r="AR18" s="132" t="s">
        <v>125</v>
      </c>
      <c r="AS18" s="132"/>
      <c r="AT18" s="134"/>
      <c r="AU18" s="176"/>
    </row>
    <row r="19" spans="1:47" ht="16.5" thickBot="1">
      <c r="A19" s="104">
        <v>16</v>
      </c>
      <c r="B19" s="106">
        <f>'Analysis Worksheet'!C57</f>
        <v>0.03</v>
      </c>
      <c r="C19" s="105">
        <f t="shared" si="9"/>
        <v>37391.21799841836</v>
      </c>
      <c r="D19" s="107">
        <f>'Analysis Worksheet'!C28</f>
        <v>0.02</v>
      </c>
      <c r="E19" s="108">
        <f t="shared" si="0"/>
        <v>36643.39363844999</v>
      </c>
      <c r="F19" s="126">
        <f>'Analysis Worksheet'!C56</f>
        <v>1.4999999999999999E-2</v>
      </c>
      <c r="G19" s="117">
        <f t="shared" si="18"/>
        <v>7921.4703743220853</v>
      </c>
      <c r="H19" s="105">
        <f t="shared" si="10"/>
        <v>28721.923264127905</v>
      </c>
      <c r="I19" s="168">
        <f>'Interest Calculations'!G196</f>
        <v>7693.4819647369277</v>
      </c>
      <c r="J19" s="105">
        <f t="shared" si="19"/>
        <v>92790.762933149847</v>
      </c>
      <c r="K19" s="108">
        <f>H19-'Analysis Worksheet'!G19</f>
        <v>14972.362754722673</v>
      </c>
      <c r="L19" s="105">
        <f t="shared" si="20"/>
        <v>540283.05165207502</v>
      </c>
      <c r="M19" s="126">
        <f>'Analysis Worksheet'!C58</f>
        <v>0.04</v>
      </c>
      <c r="N19" s="168">
        <f t="shared" si="11"/>
        <v>21611.322066082968</v>
      </c>
      <c r="O19" s="105">
        <f t="shared" si="21"/>
        <v>261894.37371815799</v>
      </c>
      <c r="P19" s="108">
        <f t="shared" si="1"/>
        <v>561894.37371815799</v>
      </c>
      <c r="Q19" s="105">
        <f t="shared" si="12"/>
        <v>44951.549897452642</v>
      </c>
      <c r="R19" s="108">
        <f>'Interest Calculations'!E196</f>
        <v>147209.23706685015</v>
      </c>
      <c r="S19" s="105">
        <f t="shared" si="2"/>
        <v>414685.13665130781</v>
      </c>
      <c r="T19" s="105">
        <f t="shared" si="13"/>
        <v>140477.3847738379</v>
      </c>
      <c r="U19" s="105">
        <f>'Analysis Worksheet'!F14</f>
        <v>69000</v>
      </c>
      <c r="V19" s="105">
        <f t="shared" si="3"/>
        <v>44277.166785542569</v>
      </c>
      <c r="W19" s="129">
        <f>H19/'Analysis Worksheet'!F5</f>
        <v>9.5739744213759678E-2</v>
      </c>
      <c r="X19" s="119">
        <f t="shared" si="14"/>
        <v>0.6416980693556894</v>
      </c>
      <c r="Y19" s="119">
        <f t="shared" si="4"/>
        <v>0.21699076456119817</v>
      </c>
      <c r="Z19" s="111">
        <f t="shared" si="15"/>
        <v>0.10677297754892399</v>
      </c>
      <c r="AA19" s="112">
        <f t="shared" si="5"/>
        <v>495162.52142514568</v>
      </c>
      <c r="AB19" s="107">
        <f t="shared" si="6"/>
        <v>7.1762684264513865</v>
      </c>
      <c r="AC19" s="105">
        <f t="shared" si="7"/>
        <v>450210.97152769304</v>
      </c>
      <c r="AD19" s="137">
        <f t="shared" si="8"/>
        <v>6.5247966888071458</v>
      </c>
      <c r="AE19" s="158"/>
      <c r="AF19" s="159"/>
      <c r="AG19" s="160" t="s">
        <v>126</v>
      </c>
      <c r="AH19" s="160">
        <f>+IRR(AE4:AE5)</f>
        <v>-0.20723294303768525</v>
      </c>
      <c r="AI19" s="143"/>
      <c r="AJ19" s="143"/>
      <c r="AK19" s="144" t="s">
        <v>127</v>
      </c>
      <c r="AL19" s="156">
        <f>IRR(AI4:AI9)</f>
        <v>0.16628812616249711</v>
      </c>
      <c r="AM19" s="143"/>
      <c r="AN19" s="143"/>
      <c r="AO19" s="144" t="s">
        <v>128</v>
      </c>
      <c r="AP19" s="156">
        <f>IRR(AM4:AM14)</f>
        <v>0.17473614069848309</v>
      </c>
      <c r="AQ19" s="146">
        <f>K18+AT7</f>
        <v>356179.83399783203</v>
      </c>
      <c r="AR19" s="143" t="s">
        <v>129</v>
      </c>
      <c r="AS19" s="144" t="s">
        <v>130</v>
      </c>
      <c r="AT19" s="145">
        <f>IRR(AQ4:AQ19)</f>
        <v>0.16589264631740575</v>
      </c>
      <c r="AU19" s="175"/>
    </row>
    <row r="20" spans="1:47" ht="15.75">
      <c r="A20" s="104">
        <v>17</v>
      </c>
      <c r="B20" s="106">
        <f>'Analysis Worksheet'!C57</f>
        <v>0.03</v>
      </c>
      <c r="C20" s="105">
        <f t="shared" si="9"/>
        <v>38512.954538370912</v>
      </c>
      <c r="D20" s="107">
        <f>'Analysis Worksheet'!C28</f>
        <v>0.02</v>
      </c>
      <c r="E20" s="108">
        <f t="shared" si="0"/>
        <v>37742.695447603495</v>
      </c>
      <c r="F20" s="126">
        <f>'Analysis Worksheet'!C56</f>
        <v>1.4999999999999999E-2</v>
      </c>
      <c r="G20" s="117">
        <f t="shared" si="18"/>
        <v>8040.292429936917</v>
      </c>
      <c r="H20" s="105">
        <f t="shared" si="10"/>
        <v>29702.403017666576</v>
      </c>
      <c r="I20" s="168">
        <f>'Interest Calculations'!G208</f>
        <v>8006.926290405886</v>
      </c>
      <c r="J20" s="105">
        <f t="shared" si="19"/>
        <v>100797.68922355573</v>
      </c>
      <c r="K20" s="108">
        <f>H20-'Analysis Worksheet'!G19</f>
        <v>15952.842508261345</v>
      </c>
      <c r="L20" s="105">
        <f t="shared" si="20"/>
        <v>561894.37371815799</v>
      </c>
      <c r="M20" s="126">
        <f>'Analysis Worksheet'!C58</f>
        <v>0.04</v>
      </c>
      <c r="N20" s="168">
        <f t="shared" si="11"/>
        <v>22475.774948726292</v>
      </c>
      <c r="O20" s="105">
        <f t="shared" si="21"/>
        <v>284370.14866688428</v>
      </c>
      <c r="P20" s="108">
        <f t="shared" si="1"/>
        <v>584370.14866688428</v>
      </c>
      <c r="Q20" s="105">
        <f t="shared" si="12"/>
        <v>46749.611893350746</v>
      </c>
      <c r="R20" s="108">
        <f>'Interest Calculations'!E208</f>
        <v>139202.31077644427</v>
      </c>
      <c r="S20" s="105">
        <f t="shared" si="2"/>
        <v>445167.83789044002</v>
      </c>
      <c r="T20" s="105">
        <f t="shared" si="13"/>
        <v>156430.22728209925</v>
      </c>
      <c r="U20" s="105">
        <f>'Analysis Worksheet'!F14</f>
        <v>69000</v>
      </c>
      <c r="V20" s="105">
        <f t="shared" si="3"/>
        <v>46435.543747393524</v>
      </c>
      <c r="W20" s="119">
        <f>H20/'Analysis Worksheet'!F5</f>
        <v>9.9008010058888582E-2</v>
      </c>
      <c r="X20" s="119">
        <f t="shared" si="14"/>
        <v>0.67297889488976126</v>
      </c>
      <c r="Y20" s="119">
        <f t="shared" si="4"/>
        <v>0.23120061606175862</v>
      </c>
      <c r="Z20" s="111">
        <f t="shared" si="15"/>
        <v>0.10431019448179846</v>
      </c>
      <c r="AA20" s="112">
        <f t="shared" si="5"/>
        <v>541598.06517253933</v>
      </c>
      <c r="AB20" s="107">
        <f t="shared" si="6"/>
        <v>7.8492473213411493</v>
      </c>
      <c r="AC20" s="105">
        <f t="shared" si="7"/>
        <v>494848.4532791886</v>
      </c>
      <c r="AD20" s="113">
        <f t="shared" si="8"/>
        <v>7.1717167141911391</v>
      </c>
      <c r="AE20" s="153"/>
      <c r="AF20" s="153"/>
      <c r="AG20" s="153"/>
      <c r="AH20" s="153"/>
      <c r="AI20" s="179"/>
      <c r="AJ20" s="179"/>
      <c r="AK20" s="179"/>
      <c r="AL20" s="179"/>
      <c r="AM20" s="179"/>
      <c r="AN20" s="179"/>
      <c r="AO20" s="179"/>
      <c r="AP20" s="179"/>
      <c r="AQ20" s="179"/>
      <c r="AR20" s="136"/>
      <c r="AS20" s="179"/>
      <c r="AT20" s="179"/>
      <c r="AU20" s="173"/>
    </row>
    <row r="21" spans="1:47" ht="15.75">
      <c r="A21" s="104">
        <v>18</v>
      </c>
      <c r="B21" s="106">
        <f>'Analysis Worksheet'!C57</f>
        <v>0.03</v>
      </c>
      <c r="C21" s="105">
        <f t="shared" si="9"/>
        <v>39668.343174522037</v>
      </c>
      <c r="D21" s="107">
        <f>'Analysis Worksheet'!C28</f>
        <v>0.02</v>
      </c>
      <c r="E21" s="108">
        <f t="shared" si="0"/>
        <v>38874.976311031598</v>
      </c>
      <c r="F21" s="126">
        <f>'Analysis Worksheet'!C56</f>
        <v>1.4999999999999999E-2</v>
      </c>
      <c r="G21" s="117">
        <f t="shared" si="18"/>
        <v>8160.8968163859709</v>
      </c>
      <c r="H21" s="105">
        <f t="shared" si="10"/>
        <v>30714.079494645626</v>
      </c>
      <c r="I21" s="168">
        <f>'Interest Calculations'!G220</f>
        <v>8333.140821522049</v>
      </c>
      <c r="J21" s="105">
        <f t="shared" si="19"/>
        <v>109130.83004507778</v>
      </c>
      <c r="K21" s="108">
        <f>H21-'Analysis Worksheet'!G19</f>
        <v>16964.518985240393</v>
      </c>
      <c r="L21" s="105">
        <f t="shared" si="20"/>
        <v>584370.14866688428</v>
      </c>
      <c r="M21" s="126">
        <f>'Analysis Worksheet'!C58</f>
        <v>0.04</v>
      </c>
      <c r="N21" s="168">
        <f t="shared" si="11"/>
        <v>23374.805946675362</v>
      </c>
      <c r="O21" s="105">
        <f t="shared" si="21"/>
        <v>307744.95461355965</v>
      </c>
      <c r="P21" s="108">
        <f t="shared" si="1"/>
        <v>607744.95461355965</v>
      </c>
      <c r="Q21" s="105">
        <f t="shared" si="12"/>
        <v>48619.596369084771</v>
      </c>
      <c r="R21" s="108">
        <f>'Interest Calculations'!E220</f>
        <v>130869.1699549222</v>
      </c>
      <c r="S21" s="105">
        <f t="shared" si="2"/>
        <v>476875.78465863748</v>
      </c>
      <c r="T21" s="105">
        <f t="shared" si="13"/>
        <v>173394.74626733965</v>
      </c>
      <c r="U21" s="105">
        <f>'Analysis Worksheet'!F14</f>
        <v>69000</v>
      </c>
      <c r="V21" s="105">
        <f t="shared" si="3"/>
        <v>48672.465753437806</v>
      </c>
      <c r="W21" s="119">
        <f>H21/'Analysis Worksheet'!F5</f>
        <v>0.10238026498215209</v>
      </c>
      <c r="X21" s="119">
        <f t="shared" si="14"/>
        <v>0.70539805439764935</v>
      </c>
      <c r="Y21" s="119">
        <f t="shared" si="4"/>
        <v>0.24586259398899121</v>
      </c>
      <c r="Z21" s="111">
        <f t="shared" si="15"/>
        <v>0.10206529104487674</v>
      </c>
      <c r="AA21" s="112">
        <f t="shared" si="5"/>
        <v>590270.53092597704</v>
      </c>
      <c r="AB21" s="107">
        <f t="shared" si="6"/>
        <v>8.5546453757387972</v>
      </c>
      <c r="AC21" s="105">
        <f t="shared" si="7"/>
        <v>541650.93455689226</v>
      </c>
      <c r="AD21" s="113">
        <f t="shared" si="8"/>
        <v>7.8500135443027865</v>
      </c>
      <c r="AE21" s="113"/>
      <c r="AF21" s="113"/>
      <c r="AG21" s="113"/>
      <c r="AH21" s="113"/>
      <c r="AI21" s="173"/>
      <c r="AJ21" s="173"/>
      <c r="AK21" s="173"/>
      <c r="AL21" s="173"/>
      <c r="AM21" s="173"/>
      <c r="AN21" s="173"/>
      <c r="AO21" s="173"/>
      <c r="AP21" s="173"/>
      <c r="AQ21" s="173"/>
      <c r="AR21" s="173"/>
      <c r="AS21" s="173"/>
      <c r="AT21" s="173"/>
      <c r="AU21" s="173"/>
    </row>
    <row r="22" spans="1:47" ht="15.75">
      <c r="A22" s="104">
        <v>19</v>
      </c>
      <c r="B22" s="106">
        <f>'Analysis Worksheet'!C57</f>
        <v>0.03</v>
      </c>
      <c r="C22" s="105">
        <f t="shared" si="9"/>
        <v>40858.393469757699</v>
      </c>
      <c r="D22" s="107">
        <f>'Analysis Worksheet'!C28</f>
        <v>0.02</v>
      </c>
      <c r="E22" s="108">
        <f t="shared" si="0"/>
        <v>40041.225600362544</v>
      </c>
      <c r="F22" s="126">
        <f>'Analysis Worksheet'!C56</f>
        <v>1.4999999999999999E-2</v>
      </c>
      <c r="G22" s="117">
        <f t="shared" si="18"/>
        <v>8283.3102686317598</v>
      </c>
      <c r="H22" s="105">
        <f t="shared" si="10"/>
        <v>31757.915331730786</v>
      </c>
      <c r="I22" s="168">
        <f>'Interest Calculations'!G232</f>
        <v>8672.6458359587414</v>
      </c>
      <c r="J22" s="105">
        <f t="shared" si="19"/>
        <v>117803.47588103652</v>
      </c>
      <c r="K22" s="108">
        <f>H22-'Analysis Worksheet'!G19</f>
        <v>18008.354822325557</v>
      </c>
      <c r="L22" s="105">
        <f t="shared" si="20"/>
        <v>607744.95461355965</v>
      </c>
      <c r="M22" s="126">
        <f>'Analysis Worksheet'!C58</f>
        <v>0.04</v>
      </c>
      <c r="N22" s="168">
        <f t="shared" si="11"/>
        <v>24309.798184542451</v>
      </c>
      <c r="O22" s="105">
        <f t="shared" si="21"/>
        <v>332054.7527981021</v>
      </c>
      <c r="P22" s="108">
        <f t="shared" si="1"/>
        <v>632054.7527981021</v>
      </c>
      <c r="Q22" s="105">
        <f t="shared" si="12"/>
        <v>50564.380223848166</v>
      </c>
      <c r="R22" s="108">
        <f>'Interest Calculations'!E232</f>
        <v>122196.52411896343</v>
      </c>
      <c r="S22" s="105">
        <f t="shared" si="2"/>
        <v>509858.2286791387</v>
      </c>
      <c r="T22" s="105">
        <f t="shared" si="13"/>
        <v>191403.1010896652</v>
      </c>
      <c r="U22" s="105">
        <f>'Analysis Worksheet'!F14</f>
        <v>69000</v>
      </c>
      <c r="V22" s="105">
        <f t="shared" si="3"/>
        <v>50990.798842826749</v>
      </c>
      <c r="W22" s="119">
        <f>H22/'Analysis Worksheet'!F5</f>
        <v>0.10585971777243595</v>
      </c>
      <c r="X22" s="119">
        <f t="shared" si="14"/>
        <v>0.73899708467864855</v>
      </c>
      <c r="Y22" s="119">
        <f t="shared" si="4"/>
        <v>0.2609906495989211</v>
      </c>
      <c r="Z22" s="111">
        <f t="shared" si="15"/>
        <v>0.10000975952653696</v>
      </c>
      <c r="AA22" s="112">
        <f t="shared" si="5"/>
        <v>641261.32976880379</v>
      </c>
      <c r="AB22" s="107">
        <f t="shared" si="6"/>
        <v>9.2936424604174466</v>
      </c>
      <c r="AC22" s="105">
        <f t="shared" si="7"/>
        <v>590696.94954495563</v>
      </c>
      <c r="AD22" s="113">
        <f t="shared" si="8"/>
        <v>8.5608253557239937</v>
      </c>
      <c r="AE22" s="113"/>
      <c r="AF22" s="113"/>
      <c r="AG22" s="113"/>
      <c r="AH22" s="113"/>
      <c r="AI22" s="173"/>
      <c r="AJ22" s="173"/>
      <c r="AK22" s="173"/>
      <c r="AL22" s="173"/>
      <c r="AM22" s="173"/>
      <c r="AN22" s="173"/>
      <c r="AO22" s="173"/>
      <c r="AP22" s="173"/>
      <c r="AQ22" s="173"/>
      <c r="AR22" s="173"/>
      <c r="AS22" s="173"/>
      <c r="AT22" s="173"/>
      <c r="AU22" s="173"/>
    </row>
    <row r="23" spans="1:47" ht="15.75">
      <c r="A23" s="104">
        <v>20</v>
      </c>
      <c r="B23" s="106">
        <f>'Analysis Worksheet'!C57</f>
        <v>0.03</v>
      </c>
      <c r="C23" s="105">
        <f t="shared" si="9"/>
        <v>42084.14527385043</v>
      </c>
      <c r="D23" s="107">
        <f>'Analysis Worksheet'!C28</f>
        <v>0.02</v>
      </c>
      <c r="E23" s="108">
        <f t="shared" si="0"/>
        <v>41242.462368373424</v>
      </c>
      <c r="F23" s="126">
        <f>'Analysis Worksheet'!C56</f>
        <v>1.4999999999999999E-2</v>
      </c>
      <c r="G23" s="117">
        <f t="shared" si="18"/>
        <v>8407.5599226612358</v>
      </c>
      <c r="H23" s="105">
        <f t="shared" si="10"/>
        <v>32834.902445712185</v>
      </c>
      <c r="I23" s="168">
        <f>'Interest Calculations'!G244</f>
        <v>9025.9828085125882</v>
      </c>
      <c r="J23" s="105">
        <f t="shared" si="19"/>
        <v>126829.45868954911</v>
      </c>
      <c r="K23" s="108">
        <f>H23-'Analysis Worksheet'!G19</f>
        <v>19085.341936306955</v>
      </c>
      <c r="L23" s="105">
        <f t="shared" si="20"/>
        <v>632054.7527981021</v>
      </c>
      <c r="M23" s="126">
        <f>'Analysis Worksheet'!C58</f>
        <v>0.04</v>
      </c>
      <c r="N23" s="168">
        <f t="shared" si="11"/>
        <v>25282.190111924079</v>
      </c>
      <c r="O23" s="105">
        <f t="shared" si="21"/>
        <v>357336.94291002618</v>
      </c>
      <c r="P23" s="108">
        <f t="shared" si="1"/>
        <v>657336.94291002618</v>
      </c>
      <c r="Q23" s="105">
        <f t="shared" si="12"/>
        <v>52586.955432802097</v>
      </c>
      <c r="R23" s="108">
        <f>'Interest Calculations'!E244</f>
        <v>113170.54131045085</v>
      </c>
      <c r="S23" s="105">
        <f t="shared" si="2"/>
        <v>544166.4015995753</v>
      </c>
      <c r="T23" s="105">
        <f t="shared" si="13"/>
        <v>210488.44302597217</v>
      </c>
      <c r="U23" s="105">
        <f>'Analysis Worksheet'!F14</f>
        <v>69000</v>
      </c>
      <c r="V23" s="105">
        <f t="shared" si="3"/>
        <v>53393.514856743626</v>
      </c>
      <c r="W23" s="119">
        <f>H23/'Analysis Worksheet'!F5</f>
        <v>0.10944967481904061</v>
      </c>
      <c r="X23" s="119">
        <f t="shared" si="14"/>
        <v>0.77381905589483513</v>
      </c>
      <c r="Y23" s="119">
        <f t="shared" si="4"/>
        <v>0.27659915849720224</v>
      </c>
      <c r="Z23" s="111">
        <f t="shared" si="15"/>
        <v>9.8119830073656822E-2</v>
      </c>
      <c r="AA23" s="112">
        <f t="shared" si="5"/>
        <v>694654.84462554753</v>
      </c>
      <c r="AB23" s="107">
        <f t="shared" si="6"/>
        <v>10.067461516312283</v>
      </c>
      <c r="AC23" s="105">
        <f t="shared" si="7"/>
        <v>642067.88919274544</v>
      </c>
      <c r="AD23" s="113">
        <f t="shared" si="8"/>
        <v>9.3053317274310938</v>
      </c>
      <c r="AE23" s="113"/>
      <c r="AF23" s="113"/>
      <c r="AG23" s="113"/>
      <c r="AH23" s="113"/>
      <c r="AI23" s="173"/>
      <c r="AJ23" s="173"/>
      <c r="AK23" s="173"/>
      <c r="AL23" s="173"/>
      <c r="AM23" s="173"/>
      <c r="AN23" s="173"/>
      <c r="AO23" s="173"/>
      <c r="AP23" s="173"/>
      <c r="AQ23" s="173"/>
      <c r="AR23" s="173"/>
      <c r="AS23" s="173"/>
      <c r="AT23" s="173"/>
      <c r="AU23" s="173"/>
    </row>
    <row r="24" spans="1:47" ht="15.75">
      <c r="A24" s="104">
        <v>21</v>
      </c>
      <c r="B24" s="106">
        <f>'Analysis Worksheet'!C57</f>
        <v>0.03</v>
      </c>
      <c r="C24" s="105">
        <f t="shared" si="9"/>
        <v>43346.669632065947</v>
      </c>
      <c r="D24" s="107">
        <f>'Analysis Worksheet'!C28</f>
        <v>0.02</v>
      </c>
      <c r="E24" s="108">
        <f t="shared" si="0"/>
        <v>42479.73623942463</v>
      </c>
      <c r="F24" s="126">
        <f>'Analysis Worksheet'!C56</f>
        <v>1.4999999999999999E-2</v>
      </c>
      <c r="G24" s="117">
        <f t="shared" si="18"/>
        <v>8533.6733215011536</v>
      </c>
      <c r="H24" s="105">
        <f t="shared" si="10"/>
        <v>33946.062917923475</v>
      </c>
      <c r="I24" s="168">
        <f>'Interest Calculations'!G256</f>
        <v>9393.7152744988889</v>
      </c>
      <c r="J24" s="105">
        <f t="shared" si="19"/>
        <v>136223.17396404801</v>
      </c>
      <c r="K24" s="108">
        <f>H24-'Analysis Worksheet'!G19</f>
        <v>20196.502408518245</v>
      </c>
      <c r="L24" s="105">
        <f t="shared" si="20"/>
        <v>657336.94291002618</v>
      </c>
      <c r="M24" s="126">
        <f>'Analysis Worksheet'!C58</f>
        <v>0.04</v>
      </c>
      <c r="N24" s="168">
        <f t="shared" si="11"/>
        <v>26293.477716401103</v>
      </c>
      <c r="O24" s="105">
        <f t="shared" si="21"/>
        <v>383630.42062642728</v>
      </c>
      <c r="P24" s="108">
        <f t="shared" si="1"/>
        <v>683630.42062642728</v>
      </c>
      <c r="Q24" s="105">
        <f t="shared" si="12"/>
        <v>54690.433650114181</v>
      </c>
      <c r="R24" s="108">
        <f>'Interest Calculations'!E256</f>
        <v>103776.82603595196</v>
      </c>
      <c r="S24" s="105">
        <f t="shared" si="2"/>
        <v>579853.59459047532</v>
      </c>
      <c r="T24" s="105">
        <f t="shared" si="13"/>
        <v>230684.94543449042</v>
      </c>
      <c r="U24" s="105">
        <f>'Analysis Worksheet'!F14</f>
        <v>69000</v>
      </c>
      <c r="V24" s="105">
        <f t="shared" si="3"/>
        <v>55883.695399418233</v>
      </c>
      <c r="W24" s="119">
        <f>H24/'Analysis Worksheet'!F5</f>
        <v>0.11315354305974491</v>
      </c>
      <c r="X24" s="119">
        <f t="shared" si="14"/>
        <v>0.80990862897707583</v>
      </c>
      <c r="Y24" s="119">
        <f t="shared" si="4"/>
        <v>0.29270293345678616</v>
      </c>
      <c r="Z24" s="111">
        <f t="shared" si="15"/>
        <v>9.6375526375561044E-2</v>
      </c>
      <c r="AA24" s="112">
        <f t="shared" si="5"/>
        <v>750538.54002496577</v>
      </c>
      <c r="AB24" s="107">
        <f t="shared" si="6"/>
        <v>10.877370145289358</v>
      </c>
      <c r="AC24" s="105">
        <f t="shared" si="7"/>
        <v>695848.10637485154</v>
      </c>
      <c r="AD24" s="113">
        <f t="shared" si="8"/>
        <v>10.08475516485292</v>
      </c>
      <c r="AE24" s="113"/>
      <c r="AF24" s="113"/>
      <c r="AG24" s="113"/>
      <c r="AH24" s="113"/>
      <c r="AI24" s="173"/>
      <c r="AJ24" s="173"/>
      <c r="AK24" s="173"/>
      <c r="AL24" s="173"/>
      <c r="AM24" s="173"/>
      <c r="AN24" s="173"/>
      <c r="AO24" s="173"/>
      <c r="AP24" s="173"/>
      <c r="AQ24" s="173"/>
      <c r="AR24" s="173"/>
      <c r="AS24" s="173"/>
      <c r="AT24" s="173"/>
      <c r="AU24" s="173"/>
    </row>
    <row r="25" spans="1:47" ht="15.75">
      <c r="A25" s="104">
        <v>22</v>
      </c>
      <c r="B25" s="106">
        <f>'Analysis Worksheet'!C57</f>
        <v>0.03</v>
      </c>
      <c r="C25" s="105">
        <f t="shared" si="9"/>
        <v>44647.069721027925</v>
      </c>
      <c r="D25" s="107">
        <f>'Analysis Worksheet'!C28</f>
        <v>0.02</v>
      </c>
      <c r="E25" s="108">
        <f t="shared" si="0"/>
        <v>43754.128326607366</v>
      </c>
      <c r="F25" s="126">
        <f>'Analysis Worksheet'!C56</f>
        <v>1.4999999999999999E-2</v>
      </c>
      <c r="G25" s="117">
        <f t="shared" si="18"/>
        <v>8661.6784213236715</v>
      </c>
      <c r="H25" s="105">
        <f t="shared" si="10"/>
        <v>35092.449905283691</v>
      </c>
      <c r="I25" s="168">
        <f>'Interest Calculations'!G268</f>
        <v>9776.4297285311677</v>
      </c>
      <c r="J25" s="105">
        <f t="shared" si="19"/>
        <v>145999.60369257917</v>
      </c>
      <c r="K25" s="108">
        <f>H25-'Analysis Worksheet'!G19</f>
        <v>21342.889395878461</v>
      </c>
      <c r="L25" s="105">
        <f t="shared" si="20"/>
        <v>683630.42062642728</v>
      </c>
      <c r="M25" s="126">
        <f>'Analysis Worksheet'!C58</f>
        <v>0.04</v>
      </c>
      <c r="N25" s="168">
        <f t="shared" si="11"/>
        <v>27345.21682505717</v>
      </c>
      <c r="O25" s="105">
        <f t="shared" si="21"/>
        <v>410975.63745148445</v>
      </c>
      <c r="P25" s="108">
        <f t="shared" si="1"/>
        <v>710975.63745148445</v>
      </c>
      <c r="Q25" s="105">
        <f t="shared" si="12"/>
        <v>56878.050996118756</v>
      </c>
      <c r="R25" s="108">
        <f>'Interest Calculations'!E268</f>
        <v>94000.3963074208</v>
      </c>
      <c r="S25" s="105">
        <f t="shared" si="2"/>
        <v>616975.24114406365</v>
      </c>
      <c r="T25" s="105">
        <f t="shared" si="13"/>
        <v>252027.83483036887</v>
      </c>
      <c r="U25" s="105">
        <f>'Analysis Worksheet'!F14</f>
        <v>69000</v>
      </c>
      <c r="V25" s="105">
        <f t="shared" si="3"/>
        <v>58464.535949466801</v>
      </c>
      <c r="W25" s="119">
        <f>H25/'Analysis Worksheet'!F5</f>
        <v>0.1169748330176123</v>
      </c>
      <c r="X25" s="119">
        <f t="shared" si="14"/>
        <v>0.84731211520966376</v>
      </c>
      <c r="Y25" s="119">
        <f t="shared" si="4"/>
        <v>0.30931723762142699</v>
      </c>
      <c r="Z25" s="111">
        <f t="shared" si="15"/>
        <v>9.4759938569099464E-2</v>
      </c>
      <c r="AA25" s="112">
        <f t="shared" si="5"/>
        <v>809003.07597443252</v>
      </c>
      <c r="AB25" s="107">
        <f t="shared" si="6"/>
        <v>11.724682260499023</v>
      </c>
      <c r="AC25" s="105">
        <f t="shared" si="7"/>
        <v>752125.02497831371</v>
      </c>
      <c r="AD25" s="113">
        <f t="shared" si="8"/>
        <v>10.900362680845125</v>
      </c>
      <c r="AE25" s="113"/>
      <c r="AF25" s="113"/>
      <c r="AG25" s="113"/>
      <c r="AH25" s="113"/>
      <c r="AI25" s="173"/>
      <c r="AJ25" s="173"/>
      <c r="AK25" s="173"/>
      <c r="AL25" s="173"/>
      <c r="AM25" s="173"/>
      <c r="AN25" s="173"/>
      <c r="AO25" s="173"/>
      <c r="AP25" s="173"/>
      <c r="AQ25" s="173"/>
      <c r="AR25" s="173"/>
      <c r="AS25" s="173"/>
      <c r="AT25" s="173"/>
      <c r="AU25" s="173"/>
    </row>
    <row r="26" spans="1:47" ht="15.75">
      <c r="A26" s="104">
        <v>23</v>
      </c>
      <c r="B26" s="106">
        <f>'Analysis Worksheet'!C57</f>
        <v>0.03</v>
      </c>
      <c r="C26" s="105">
        <f t="shared" si="9"/>
        <v>45986.481812658763</v>
      </c>
      <c r="D26" s="107">
        <f>'Analysis Worksheet'!C28</f>
        <v>0.02</v>
      </c>
      <c r="E26" s="108">
        <f t="shared" si="0"/>
        <v>45066.752176405585</v>
      </c>
      <c r="F26" s="126">
        <f>'Analysis Worksheet'!C56</f>
        <v>1.4999999999999999E-2</v>
      </c>
      <c r="G26" s="117">
        <f t="shared" si="18"/>
        <v>8791.6035976435269</v>
      </c>
      <c r="H26" s="105">
        <f t="shared" si="10"/>
        <v>36275.148578762062</v>
      </c>
      <c r="I26" s="168">
        <f>'Interest Calculations'!G280</f>
        <v>10174.736559918429</v>
      </c>
      <c r="J26" s="105">
        <f t="shared" si="19"/>
        <v>156174.34025249761</v>
      </c>
      <c r="K26" s="108">
        <f>H26-'Analysis Worksheet'!G19</f>
        <v>22525.588069356832</v>
      </c>
      <c r="L26" s="105">
        <f t="shared" si="20"/>
        <v>710975.63745148445</v>
      </c>
      <c r="M26" s="126">
        <f>'Analysis Worksheet'!C58</f>
        <v>0.04</v>
      </c>
      <c r="N26" s="168">
        <f t="shared" si="11"/>
        <v>28439.025498059345</v>
      </c>
      <c r="O26" s="105">
        <f t="shared" si="21"/>
        <v>439414.6629495438</v>
      </c>
      <c r="P26" s="108">
        <f t="shared" si="1"/>
        <v>739414.6629495438</v>
      </c>
      <c r="Q26" s="105">
        <f t="shared" si="12"/>
        <v>59153.173035963504</v>
      </c>
      <c r="R26" s="108">
        <f>'Interest Calculations'!E280</f>
        <v>83825.659747502417</v>
      </c>
      <c r="S26" s="105">
        <f t="shared" si="2"/>
        <v>655589.00320204138</v>
      </c>
      <c r="T26" s="105">
        <f t="shared" si="13"/>
        <v>274553.42289972573</v>
      </c>
      <c r="U26" s="105">
        <f>'Analysis Worksheet'!F14</f>
        <v>69000</v>
      </c>
      <c r="V26" s="105">
        <f t="shared" si="3"/>
        <v>61139.350127334605</v>
      </c>
      <c r="W26" s="119">
        <f>H26/'Analysis Worksheet'!F5</f>
        <v>0.12091716192920687</v>
      </c>
      <c r="X26" s="119">
        <f t="shared" si="14"/>
        <v>0.88607753807731315</v>
      </c>
      <c r="Y26" s="119">
        <f t="shared" si="4"/>
        <v>0.32645779810662073</v>
      </c>
      <c r="Z26" s="111">
        <f t="shared" si="15"/>
        <v>9.3258657220783941E-2</v>
      </c>
      <c r="AA26" s="112">
        <f t="shared" si="5"/>
        <v>870142.42610176711</v>
      </c>
      <c r="AB26" s="107">
        <f t="shared" si="6"/>
        <v>12.610759798576336</v>
      </c>
      <c r="AC26" s="105">
        <f t="shared" si="7"/>
        <v>810989.25306580355</v>
      </c>
      <c r="AD26" s="113">
        <f t="shared" si="8"/>
        <v>11.753467435736283</v>
      </c>
      <c r="AE26" s="113"/>
      <c r="AF26" s="113"/>
      <c r="AG26" s="113"/>
      <c r="AH26" s="113"/>
      <c r="AI26" s="173"/>
      <c r="AJ26" s="173"/>
      <c r="AK26" s="173"/>
      <c r="AL26" s="173"/>
      <c r="AM26" s="173"/>
      <c r="AN26" s="173"/>
      <c r="AO26" s="173"/>
      <c r="AP26" s="173"/>
      <c r="AQ26" s="173"/>
      <c r="AR26" s="173"/>
      <c r="AS26" s="173"/>
      <c r="AT26" s="173"/>
      <c r="AU26" s="173"/>
    </row>
    <row r="27" spans="1:47" ht="15.75">
      <c r="A27" s="104">
        <v>24</v>
      </c>
      <c r="B27" s="106">
        <f>'Analysis Worksheet'!C57</f>
        <v>0.03</v>
      </c>
      <c r="C27" s="105">
        <f t="shared" si="9"/>
        <v>47366.076267038523</v>
      </c>
      <c r="D27" s="107">
        <f>'Analysis Worksheet'!C28</f>
        <v>0.02</v>
      </c>
      <c r="E27" s="108">
        <f t="shared" si="0"/>
        <v>46418.754741697754</v>
      </c>
      <c r="F27" s="126">
        <f>'Analysis Worksheet'!C56</f>
        <v>1.4999999999999999E-2</v>
      </c>
      <c r="G27" s="117">
        <f t="shared" si="18"/>
        <v>8923.4776516081802</v>
      </c>
      <c r="H27" s="105">
        <f t="shared" si="10"/>
        <v>37495.27709008957</v>
      </c>
      <c r="I27" s="168">
        <f>'Interest Calculations'!G292</f>
        <v>10589.271026171898</v>
      </c>
      <c r="J27" s="105">
        <f t="shared" si="19"/>
        <v>166763.6112786695</v>
      </c>
      <c r="K27" s="108">
        <f>H27-'Analysis Worksheet'!G19</f>
        <v>23745.71658068434</v>
      </c>
      <c r="L27" s="105">
        <f t="shared" si="20"/>
        <v>739414.6629495438</v>
      </c>
      <c r="M27" s="126">
        <f>'Analysis Worksheet'!C58</f>
        <v>0.04</v>
      </c>
      <c r="N27" s="168">
        <f t="shared" si="11"/>
        <v>29576.586517981836</v>
      </c>
      <c r="O27" s="105">
        <f t="shared" si="21"/>
        <v>468991.24946752563</v>
      </c>
      <c r="P27" s="108">
        <f t="shared" si="1"/>
        <v>768991.24946752563</v>
      </c>
      <c r="Q27" s="105">
        <f t="shared" si="12"/>
        <v>61519.29995740205</v>
      </c>
      <c r="R27" s="108">
        <f>'Interest Calculations'!E292</f>
        <v>73236.388721330499</v>
      </c>
      <c r="S27" s="105">
        <f t="shared" si="2"/>
        <v>695754.86074619507</v>
      </c>
      <c r="T27" s="105">
        <f t="shared" si="13"/>
        <v>298299.13948041009</v>
      </c>
      <c r="U27" s="105">
        <f>'Analysis Worksheet'!F14</f>
        <v>69000</v>
      </c>
      <c r="V27" s="105">
        <f t="shared" si="3"/>
        <v>63911.574124838073</v>
      </c>
      <c r="W27" s="119">
        <f>H27/'Analysis Worksheet'!F5</f>
        <v>0.12498425696696523</v>
      </c>
      <c r="X27" s="119">
        <f t="shared" si="14"/>
        <v>0.92625469746142131</v>
      </c>
      <c r="Y27" s="119">
        <f t="shared" si="4"/>
        <v>0.34414082000991797</v>
      </c>
      <c r="Z27" s="111">
        <f t="shared" si="15"/>
        <v>9.1859328235656304E-2</v>
      </c>
      <c r="AA27" s="112">
        <f t="shared" si="5"/>
        <v>934054.00022660522</v>
      </c>
      <c r="AB27" s="107">
        <f t="shared" si="6"/>
        <v>13.537014496037758</v>
      </c>
      <c r="AC27" s="105">
        <f t="shared" si="7"/>
        <v>872534.70026920317</v>
      </c>
      <c r="AD27" s="113">
        <f t="shared" si="8"/>
        <v>12.645430438684103</v>
      </c>
      <c r="AE27" s="113"/>
      <c r="AF27" s="113"/>
      <c r="AG27" s="113"/>
      <c r="AH27" s="113"/>
      <c r="AI27" s="173"/>
      <c r="AJ27" s="173"/>
      <c r="AK27" s="173"/>
      <c r="AL27" s="173"/>
      <c r="AM27" s="173"/>
      <c r="AN27" s="173"/>
      <c r="AO27" s="173"/>
      <c r="AP27" s="173"/>
      <c r="AQ27" s="173"/>
      <c r="AR27" s="173"/>
      <c r="AS27" s="173"/>
      <c r="AT27" s="173"/>
      <c r="AU27" s="173"/>
    </row>
    <row r="28" spans="1:47" ht="15.75">
      <c r="A28" s="104">
        <v>25</v>
      </c>
      <c r="B28" s="106">
        <f>'Analysis Worksheet'!C57</f>
        <v>0.03</v>
      </c>
      <c r="C28" s="105">
        <f t="shared" si="9"/>
        <v>48787.058555049676</v>
      </c>
      <c r="D28" s="107">
        <f>'Analysis Worksheet'!C28</f>
        <v>0.02</v>
      </c>
      <c r="E28" s="108">
        <f t="shared" si="0"/>
        <v>47811.317383948684</v>
      </c>
      <c r="F28" s="126">
        <f>'Analysis Worksheet'!C56</f>
        <v>1.4999999999999999E-2</v>
      </c>
      <c r="G28" s="117">
        <f t="shared" si="18"/>
        <v>9057.3298163823019</v>
      </c>
      <c r="H28" s="105">
        <f t="shared" si="10"/>
        <v>38753.987567566379</v>
      </c>
      <c r="I28" s="168">
        <f>'Interest Calculations'!G304</f>
        <v>11020.694266173965</v>
      </c>
      <c r="J28" s="105">
        <f t="shared" si="19"/>
        <v>177784.30554484346</v>
      </c>
      <c r="K28" s="108">
        <f>H28-'Analysis Worksheet'!G19</f>
        <v>25004.427058161149</v>
      </c>
      <c r="L28" s="105">
        <f t="shared" si="20"/>
        <v>768991.24946752563</v>
      </c>
      <c r="M28" s="126">
        <f>'Analysis Worksheet'!C58</f>
        <v>0.04</v>
      </c>
      <c r="N28" s="168">
        <f t="shared" si="11"/>
        <v>30759.649978701025</v>
      </c>
      <c r="O28" s="105">
        <f t="shared" si="21"/>
        <v>499750.89944622666</v>
      </c>
      <c r="P28" s="108">
        <f t="shared" si="1"/>
        <v>799750.89944622666</v>
      </c>
      <c r="Q28" s="105">
        <f t="shared" si="12"/>
        <v>63980.071955698135</v>
      </c>
      <c r="R28" s="108">
        <f>'Interest Calculations'!E304</f>
        <v>62215.694455156539</v>
      </c>
      <c r="S28" s="105">
        <f t="shared" si="2"/>
        <v>737535.20499107009</v>
      </c>
      <c r="T28" s="105">
        <f t="shared" si="13"/>
        <v>323303.56653857126</v>
      </c>
      <c r="U28" s="105">
        <f>'Analysis Worksheet'!F14</f>
        <v>69000</v>
      </c>
      <c r="V28" s="105">
        <f t="shared" si="3"/>
        <v>66784.771303036134</v>
      </c>
      <c r="W28" s="119">
        <f>H28/'Analysis Worksheet'!F5</f>
        <v>0.1291799585585546</v>
      </c>
      <c r="X28" s="119">
        <f t="shared" si="14"/>
        <v>0.96789523627588603</v>
      </c>
      <c r="Y28" s="119">
        <f t="shared" si="4"/>
        <v>0.36238300084291519</v>
      </c>
      <c r="Z28" s="111">
        <f t="shared" si="15"/>
        <v>9.0551299586905484E-2</v>
      </c>
      <c r="AA28" s="112">
        <f t="shared" si="5"/>
        <v>1000838.7715296414</v>
      </c>
      <c r="AB28" s="107">
        <f t="shared" si="6"/>
        <v>14.504909732313642</v>
      </c>
      <c r="AC28" s="105">
        <f t="shared" si="7"/>
        <v>936858.69957394316</v>
      </c>
      <c r="AD28" s="113">
        <f t="shared" si="8"/>
        <v>13.577662312665844</v>
      </c>
      <c r="AE28" s="113"/>
      <c r="AF28" s="113"/>
      <c r="AG28" s="113"/>
      <c r="AH28" s="113"/>
      <c r="AI28" s="173"/>
      <c r="AJ28" s="173"/>
      <c r="AK28" s="173"/>
      <c r="AL28" s="173"/>
      <c r="AM28" s="173"/>
      <c r="AN28" s="173"/>
      <c r="AO28" s="173"/>
      <c r="AP28" s="173"/>
      <c r="AQ28" s="173"/>
      <c r="AR28" s="173"/>
      <c r="AS28" s="173"/>
      <c r="AT28" s="173"/>
      <c r="AU28" s="173"/>
    </row>
    <row r="29" spans="1:47" ht="15.75">
      <c r="A29" s="104">
        <v>26</v>
      </c>
      <c r="B29" s="106">
        <f>'Analysis Worksheet'!C57</f>
        <v>0.03</v>
      </c>
      <c r="C29" s="105">
        <f t="shared" si="9"/>
        <v>50250.670311701164</v>
      </c>
      <c r="D29" s="107">
        <f>'Analysis Worksheet'!C28</f>
        <v>0.02</v>
      </c>
      <c r="E29" s="108">
        <f t="shared" si="0"/>
        <v>49245.656905467142</v>
      </c>
      <c r="F29" s="126">
        <f>'Analysis Worksheet'!C56</f>
        <v>1.4999999999999999E-2</v>
      </c>
      <c r="G29" s="117">
        <f t="shared" si="18"/>
        <v>9193.1897636280373</v>
      </c>
      <c r="H29" s="105">
        <f t="shared" si="10"/>
        <v>40052.467141839108</v>
      </c>
      <c r="I29" s="168">
        <f>'Interest Calculations'!G316</f>
        <v>11469.694354625173</v>
      </c>
      <c r="J29" s="105">
        <f t="shared" si="19"/>
        <v>189253.99989946865</v>
      </c>
      <c r="K29" s="108">
        <f>H29-'Analysis Worksheet'!G19</f>
        <v>26302.906632433878</v>
      </c>
      <c r="L29" s="105">
        <f t="shared" si="20"/>
        <v>799750.89944622666</v>
      </c>
      <c r="M29" s="126">
        <f>'Analysis Worksheet'!C58</f>
        <v>0.04</v>
      </c>
      <c r="N29" s="168">
        <f t="shared" si="11"/>
        <v>31990.035977849038</v>
      </c>
      <c r="O29" s="105">
        <f t="shared" si="21"/>
        <v>531740.93542407569</v>
      </c>
      <c r="P29" s="108">
        <f t="shared" si="1"/>
        <v>831740.93542407569</v>
      </c>
      <c r="Q29" s="105">
        <f t="shared" si="12"/>
        <v>66539.274833926058</v>
      </c>
      <c r="R29" s="108">
        <f>'Interest Calculations'!E316</f>
        <v>50746.000100531353</v>
      </c>
      <c r="S29" s="105">
        <f t="shared" si="2"/>
        <v>780994.93532354431</v>
      </c>
      <c r="T29" s="105">
        <f t="shared" si="13"/>
        <v>349606.47317100514</v>
      </c>
      <c r="U29" s="105">
        <f>'Analysis Worksheet'!F14</f>
        <v>69000</v>
      </c>
      <c r="V29" s="105">
        <f t="shared" si="3"/>
        <v>69762.636964908088</v>
      </c>
      <c r="W29" s="119">
        <f>H29/'Analysis Worksheet'!F5</f>
        <v>0.13350822380613037</v>
      </c>
      <c r="X29" s="119">
        <f t="shared" si="14"/>
        <v>1.0110527096363491</v>
      </c>
      <c r="Y29" s="119">
        <f t="shared" si="4"/>
        <v>0.38120154539759243</v>
      </c>
      <c r="Z29" s="111">
        <f t="shared" si="15"/>
        <v>8.9325338500444162E-2</v>
      </c>
      <c r="AA29" s="112">
        <f t="shared" si="5"/>
        <v>1070601.4084945493</v>
      </c>
      <c r="AB29" s="107">
        <f t="shared" si="6"/>
        <v>15.51596244194999</v>
      </c>
      <c r="AC29" s="105">
        <f t="shared" si="7"/>
        <v>1004062.1336606233</v>
      </c>
      <c r="AD29" s="113">
        <f t="shared" si="8"/>
        <v>14.55162512551628</v>
      </c>
      <c r="AE29" s="113"/>
      <c r="AF29" s="113"/>
      <c r="AG29" s="113"/>
      <c r="AH29" s="113"/>
      <c r="AI29" s="173"/>
      <c r="AJ29" s="173"/>
      <c r="AK29" s="173"/>
      <c r="AL29" s="173"/>
      <c r="AM29" s="173"/>
      <c r="AN29" s="173"/>
      <c r="AO29" s="173"/>
      <c r="AP29" s="173"/>
      <c r="AQ29" s="173"/>
      <c r="AR29" s="173"/>
      <c r="AS29" s="173"/>
      <c r="AT29" s="173"/>
      <c r="AU29" s="173"/>
    </row>
    <row r="30" spans="1:47" ht="15.75">
      <c r="A30" s="104">
        <v>27</v>
      </c>
      <c r="B30" s="106">
        <f>'Analysis Worksheet'!C57</f>
        <v>0.03</v>
      </c>
      <c r="C30" s="105">
        <f t="shared" si="9"/>
        <v>51758.190421052197</v>
      </c>
      <c r="D30" s="107">
        <f>'Analysis Worksheet'!C28</f>
        <v>0.02</v>
      </c>
      <c r="E30" s="108">
        <f t="shared" si="0"/>
        <v>50723.026612631154</v>
      </c>
      <c r="F30" s="126">
        <f>'Analysis Worksheet'!C56</f>
        <v>1.4999999999999999E-2</v>
      </c>
      <c r="G30" s="117">
        <f t="shared" si="18"/>
        <v>9331.0876100824571</v>
      </c>
      <c r="H30" s="105">
        <f t="shared" si="10"/>
        <v>41391.939002548694</v>
      </c>
      <c r="I30" s="168">
        <f>'Interest Calculations'!G328</f>
        <v>11936.987399451002</v>
      </c>
      <c r="J30" s="105">
        <f t="shared" si="19"/>
        <v>201190.98729891964</v>
      </c>
      <c r="K30" s="108">
        <f>H30-'Analysis Worksheet'!G19</f>
        <v>27642.378493143464</v>
      </c>
      <c r="L30" s="105">
        <f t="shared" si="20"/>
        <v>831740.93542407569</v>
      </c>
      <c r="M30" s="126">
        <f>'Analysis Worksheet'!C58</f>
        <v>0.04</v>
      </c>
      <c r="N30" s="168">
        <f t="shared" si="11"/>
        <v>33269.637416963</v>
      </c>
      <c r="O30" s="105">
        <f t="shared" si="21"/>
        <v>565010.57284103869</v>
      </c>
      <c r="P30" s="108">
        <f t="shared" si="1"/>
        <v>865010.57284103869</v>
      </c>
      <c r="Q30" s="105">
        <f t="shared" si="12"/>
        <v>69200.84582728309</v>
      </c>
      <c r="R30" s="108">
        <f>'Interest Calculations'!E328</f>
        <v>38809.012701080355</v>
      </c>
      <c r="S30" s="105">
        <f t="shared" si="2"/>
        <v>826201.56013995828</v>
      </c>
      <c r="T30" s="105">
        <f t="shared" si="13"/>
        <v>377248.85166414862</v>
      </c>
      <c r="U30" s="105">
        <f>'Analysis Worksheet'!F14</f>
        <v>69000</v>
      </c>
      <c r="V30" s="105">
        <f t="shared" si="3"/>
        <v>72849.003309557462</v>
      </c>
      <c r="W30" s="119">
        <f>H30/'Analysis Worksheet'!F5</f>
        <v>0.13797313000849565</v>
      </c>
      <c r="X30" s="119">
        <f t="shared" si="14"/>
        <v>1.0557826566602531</v>
      </c>
      <c r="Y30" s="119">
        <f t="shared" si="4"/>
        <v>0.4006141810600502</v>
      </c>
      <c r="Z30" s="111">
        <f t="shared" si="15"/>
        <v>8.8173403227678318E-2</v>
      </c>
      <c r="AA30" s="112">
        <f t="shared" si="5"/>
        <v>1143450.411804107</v>
      </c>
      <c r="AB30" s="107">
        <f t="shared" si="6"/>
        <v>16.571745098610247</v>
      </c>
      <c r="AC30" s="105">
        <f t="shared" si="7"/>
        <v>1074249.5659768239</v>
      </c>
      <c r="AD30" s="113">
        <f t="shared" si="8"/>
        <v>15.568834289519188</v>
      </c>
      <c r="AE30" s="113"/>
      <c r="AF30" s="113"/>
      <c r="AG30" s="113"/>
      <c r="AH30" s="113"/>
      <c r="AI30" s="173"/>
      <c r="AJ30" s="173"/>
      <c r="AK30" s="173"/>
      <c r="AL30" s="173"/>
      <c r="AM30" s="173"/>
      <c r="AN30" s="173"/>
      <c r="AO30" s="173"/>
      <c r="AP30" s="173"/>
      <c r="AQ30" s="173"/>
      <c r="AR30" s="173"/>
      <c r="AS30" s="173"/>
      <c r="AT30" s="173"/>
      <c r="AU30" s="173"/>
    </row>
    <row r="31" spans="1:47" ht="15.75">
      <c r="A31" s="104">
        <v>28</v>
      </c>
      <c r="B31" s="106">
        <f>'Analysis Worksheet'!C57</f>
        <v>0.03</v>
      </c>
      <c r="C31" s="105">
        <f t="shared" si="9"/>
        <v>53310.936133683761</v>
      </c>
      <c r="D31" s="107">
        <f>'Analysis Worksheet'!C28</f>
        <v>0.02</v>
      </c>
      <c r="E31" s="108">
        <f t="shared" si="0"/>
        <v>52244.717411010082</v>
      </c>
      <c r="F31" s="126">
        <f>'Analysis Worksheet'!C56</f>
        <v>1.4999999999999999E-2</v>
      </c>
      <c r="G31" s="117">
        <f t="shared" si="18"/>
        <v>9471.0539242336945</v>
      </c>
      <c r="H31" s="105">
        <f t="shared" si="10"/>
        <v>42773.663486776386</v>
      </c>
      <c r="I31" s="168">
        <f>'Interest Calculations'!G340</f>
        <v>12423.318683918724</v>
      </c>
      <c r="J31" s="105">
        <f t="shared" si="19"/>
        <v>213614.30598283836</v>
      </c>
      <c r="K31" s="108">
        <f>H31-'Analysis Worksheet'!G19</f>
        <v>29024.102977371156</v>
      </c>
      <c r="L31" s="105">
        <f t="shared" si="20"/>
        <v>865010.57284103869</v>
      </c>
      <c r="M31" s="126">
        <f>'Analysis Worksheet'!C58</f>
        <v>0.04</v>
      </c>
      <c r="N31" s="168">
        <f t="shared" si="11"/>
        <v>34600.422913641552</v>
      </c>
      <c r="O31" s="105">
        <f t="shared" si="21"/>
        <v>599610.99575468025</v>
      </c>
      <c r="P31" s="108">
        <f t="shared" si="1"/>
        <v>899610.99575468025</v>
      </c>
      <c r="Q31" s="105">
        <f t="shared" si="12"/>
        <v>71968.879660374427</v>
      </c>
      <c r="R31" s="108">
        <f>'Interest Calculations'!E340</f>
        <v>26385.694017161615</v>
      </c>
      <c r="S31" s="105">
        <f t="shared" si="2"/>
        <v>873225.30173751863</v>
      </c>
      <c r="T31" s="105">
        <f t="shared" si="13"/>
        <v>406272.95464151975</v>
      </c>
      <c r="U31" s="105">
        <f>'Analysis Worksheet'!F14</f>
        <v>69000</v>
      </c>
      <c r="V31" s="105">
        <f t="shared" si="3"/>
        <v>76047.844574931427</v>
      </c>
      <c r="W31" s="119">
        <f>H31/'Analysis Worksheet'!F5</f>
        <v>0.14257887828925461</v>
      </c>
      <c r="X31" s="119">
        <f t="shared" si="14"/>
        <v>1.1021426749990062</v>
      </c>
      <c r="Y31" s="119">
        <f t="shared" si="4"/>
        <v>0.42063917358508923</v>
      </c>
      <c r="Z31" s="111">
        <f t="shared" si="15"/>
        <v>8.7088457496150892E-2</v>
      </c>
      <c r="AA31" s="112">
        <f t="shared" si="5"/>
        <v>1219498.2563790383</v>
      </c>
      <c r="AB31" s="107">
        <f t="shared" si="6"/>
        <v>17.673887773609252</v>
      </c>
      <c r="AC31" s="105">
        <f t="shared" si="7"/>
        <v>1147529.3767186638</v>
      </c>
      <c r="AD31" s="113">
        <f t="shared" si="8"/>
        <v>16.63086053215455</v>
      </c>
      <c r="AE31" s="113"/>
      <c r="AF31" s="113"/>
      <c r="AG31" s="113"/>
      <c r="AH31" s="113"/>
      <c r="AI31" s="173"/>
      <c r="AJ31" s="173"/>
      <c r="AK31" s="173"/>
      <c r="AL31" s="173"/>
      <c r="AM31" s="173"/>
      <c r="AN31" s="173"/>
      <c r="AO31" s="173"/>
      <c r="AP31" s="173"/>
      <c r="AQ31" s="173"/>
      <c r="AR31" s="173"/>
      <c r="AS31" s="173"/>
      <c r="AT31" s="173"/>
      <c r="AU31" s="173"/>
    </row>
    <row r="32" spans="1:47" ht="15.75">
      <c r="A32" s="104">
        <v>29</v>
      </c>
      <c r="B32" s="106">
        <f>'Analysis Worksheet'!C57</f>
        <v>0.03</v>
      </c>
      <c r="C32" s="105">
        <f t="shared" si="9"/>
        <v>54910.264217694275</v>
      </c>
      <c r="D32" s="107">
        <f>'Analysis Worksheet'!C28</f>
        <v>0.02</v>
      </c>
      <c r="E32" s="108">
        <f t="shared" si="0"/>
        <v>53812.058933340391</v>
      </c>
      <c r="F32" s="126">
        <f>'Analysis Worksheet'!C56</f>
        <v>1.4999999999999999E-2</v>
      </c>
      <c r="G32" s="117">
        <f t="shared" si="18"/>
        <v>9613.1197330971991</v>
      </c>
      <c r="H32" s="105">
        <f t="shared" si="10"/>
        <v>44198.939200243192</v>
      </c>
      <c r="I32" s="168">
        <f>'Interest Calculations'!G352</f>
        <v>12929.463855285823</v>
      </c>
      <c r="J32" s="105">
        <f t="shared" si="19"/>
        <v>226543.76983812416</v>
      </c>
      <c r="K32" s="108">
        <f>H32-'Analysis Worksheet'!G19</f>
        <v>30449.378690837962</v>
      </c>
      <c r="L32" s="105">
        <f t="shared" si="20"/>
        <v>899610.99575468025</v>
      </c>
      <c r="M32" s="126">
        <f>'Analysis Worksheet'!C58</f>
        <v>0.04</v>
      </c>
      <c r="N32" s="168">
        <f t="shared" si="11"/>
        <v>35984.439830187242</v>
      </c>
      <c r="O32" s="105">
        <f t="shared" si="21"/>
        <v>635595.43558486749</v>
      </c>
      <c r="P32" s="108">
        <f t="shared" si="1"/>
        <v>935595.43558486749</v>
      </c>
      <c r="Q32" s="105">
        <f t="shared" si="12"/>
        <v>74847.634846789399</v>
      </c>
      <c r="R32" s="108">
        <f>'Interest Calculations'!E352</f>
        <v>13456.230161875807</v>
      </c>
      <c r="S32" s="105">
        <f t="shared" si="2"/>
        <v>922139.20542299165</v>
      </c>
      <c r="T32" s="105">
        <f t="shared" si="13"/>
        <v>436722.3333323577</v>
      </c>
      <c r="U32" s="105">
        <f>'Analysis Worksheet'!F14</f>
        <v>69000</v>
      </c>
      <c r="V32" s="105">
        <f t="shared" si="3"/>
        <v>79363.282376311021</v>
      </c>
      <c r="W32" s="119">
        <f>H32/'Analysis Worksheet'!F5</f>
        <v>0.14732979733414397</v>
      </c>
      <c r="X32" s="119">
        <f t="shared" si="14"/>
        <v>1.1501924982074061</v>
      </c>
      <c r="Y32" s="119">
        <f t="shared" si="4"/>
        <v>0.44129534334547771</v>
      </c>
      <c r="Z32" s="111">
        <f t="shared" si="15"/>
        <v>8.6064318607846774E-2</v>
      </c>
      <c r="AA32" s="112">
        <f t="shared" si="5"/>
        <v>1298861.5387553493</v>
      </c>
      <c r="AB32" s="107">
        <f t="shared" si="6"/>
        <v>18.824080271816658</v>
      </c>
      <c r="AC32" s="105">
        <f t="shared" si="7"/>
        <v>1224013.9039085601</v>
      </c>
      <c r="AD32" s="113">
        <f t="shared" si="8"/>
        <v>17.739331940703767</v>
      </c>
      <c r="AE32" s="113"/>
      <c r="AF32" s="113"/>
      <c r="AG32" s="113"/>
      <c r="AH32" s="113"/>
      <c r="AI32" s="173"/>
      <c r="AJ32" s="173"/>
      <c r="AK32" s="173"/>
      <c r="AL32" s="173"/>
      <c r="AM32" s="173"/>
      <c r="AN32" s="173"/>
      <c r="AO32" s="173"/>
      <c r="AP32" s="173"/>
      <c r="AQ32" s="173"/>
      <c r="AR32" s="173"/>
      <c r="AS32" s="173"/>
      <c r="AT32" s="173"/>
      <c r="AU32" s="173"/>
    </row>
    <row r="33" spans="1:34" ht="15.75">
      <c r="A33" s="104">
        <v>30</v>
      </c>
      <c r="B33" s="106">
        <f>'Analysis Worksheet'!C57</f>
        <v>0.03</v>
      </c>
      <c r="C33" s="105">
        <f t="shared" si="9"/>
        <v>56557.572144225102</v>
      </c>
      <c r="D33" s="107">
        <f>'Analysis Worksheet'!C28</f>
        <v>0.02</v>
      </c>
      <c r="E33" s="108">
        <f t="shared" si="0"/>
        <v>55426.420701340598</v>
      </c>
      <c r="F33" s="126">
        <f>'Analysis Worksheet'!C56</f>
        <v>1.4999999999999999E-2</v>
      </c>
      <c r="G33" s="117">
        <f t="shared" si="18"/>
        <v>9757.3165290936577</v>
      </c>
      <c r="H33" s="105">
        <f t="shared" si="10"/>
        <v>45669.104172246938</v>
      </c>
      <c r="I33" s="168">
        <f>'Interest Calculations'!G364</f>
        <v>13456.230161875817</v>
      </c>
      <c r="J33" s="105">
        <f t="shared" si="19"/>
        <v>239999.99999999997</v>
      </c>
      <c r="K33" s="108">
        <f>H33-'Analysis Worksheet'!G19</f>
        <v>31919.543662841708</v>
      </c>
      <c r="L33" s="109">
        <f t="shared" si="20"/>
        <v>935595.43558486749</v>
      </c>
      <c r="M33" s="126">
        <f>'Analysis Worksheet'!C58</f>
        <v>0.04</v>
      </c>
      <c r="N33" s="168">
        <f t="shared" si="11"/>
        <v>37423.817423394765</v>
      </c>
      <c r="O33" s="105">
        <f t="shared" si="21"/>
        <v>673019.25300826225</v>
      </c>
      <c r="P33" s="108">
        <f t="shared" si="1"/>
        <v>973019.25300826225</v>
      </c>
      <c r="Q33" s="105">
        <f t="shared" si="12"/>
        <v>77841.540240660979</v>
      </c>
      <c r="R33" s="108">
        <f>'Interest Calculations'!E364</f>
        <v>0</v>
      </c>
      <c r="S33" s="105">
        <f t="shared" si="2"/>
        <v>973019.25300826225</v>
      </c>
      <c r="T33" s="105">
        <f t="shared" si="13"/>
        <v>468641.87699519942</v>
      </c>
      <c r="U33" s="105">
        <f>'Analysis Worksheet'!F14</f>
        <v>69000</v>
      </c>
      <c r="V33" s="105">
        <f t="shared" si="3"/>
        <v>82799.591248112294</v>
      </c>
      <c r="W33" s="129">
        <f>H33/'Analysis Worksheet'!F5</f>
        <v>0.15223034724082313</v>
      </c>
      <c r="X33" s="119">
        <f t="shared" si="14"/>
        <v>1.1999940760595984</v>
      </c>
      <c r="Y33" s="119">
        <f t="shared" si="4"/>
        <v>0.46260208207016967</v>
      </c>
      <c r="Z33" s="111">
        <f t="shared" si="15"/>
        <v>8.5095532274538879E-2</v>
      </c>
      <c r="AA33" s="112">
        <f t="shared" si="5"/>
        <v>1381661.1300034616</v>
      </c>
      <c r="AB33" s="110">
        <f t="shared" si="6"/>
        <v>20.024074347876255</v>
      </c>
      <c r="AC33" s="105">
        <f t="shared" si="7"/>
        <v>1303819.5897628006</v>
      </c>
      <c r="AD33" s="113">
        <f t="shared" si="8"/>
        <v>18.895936083518848</v>
      </c>
      <c r="AE33" s="113"/>
      <c r="AF33" s="113"/>
      <c r="AG33" s="113"/>
      <c r="AH33" s="113"/>
    </row>
    <row r="34" spans="1:34">
      <c r="A34" s="104">
        <v>31</v>
      </c>
      <c r="B34" s="106">
        <f>'Analysis Worksheet'!C57</f>
        <v>0.03</v>
      </c>
      <c r="C34" s="105">
        <f t="shared" si="9"/>
        <v>58254.299308551854</v>
      </c>
      <c r="D34" s="107">
        <f>'Analysis Worksheet'!C28</f>
        <v>0.02</v>
      </c>
      <c r="E34" s="108">
        <f t="shared" si="0"/>
        <v>57089.21332238082</v>
      </c>
      <c r="F34" s="126">
        <f>'Analysis Worksheet'!C56</f>
        <v>1.4999999999999999E-2</v>
      </c>
      <c r="G34" s="117">
        <f t="shared" si="18"/>
        <v>9903.6762770300629</v>
      </c>
      <c r="H34" s="105">
        <f>E34-G34</f>
        <v>47185.537045350757</v>
      </c>
      <c r="I34" s="168">
        <f>'Interest Calculations'!F365</f>
        <v>0</v>
      </c>
      <c r="J34" s="105">
        <f>I34+J33</f>
        <v>239999.99999999997</v>
      </c>
      <c r="K34" s="108">
        <f>H34-0</f>
        <v>47185.537045350757</v>
      </c>
      <c r="L34" s="109">
        <f t="shared" si="20"/>
        <v>973019.25300826225</v>
      </c>
      <c r="M34" s="126">
        <f>'Analysis Worksheet'!C58</f>
        <v>0.04</v>
      </c>
      <c r="N34" s="168">
        <f t="shared" si="11"/>
        <v>38920.770120330504</v>
      </c>
      <c r="O34" s="173"/>
      <c r="P34" s="180"/>
      <c r="Q34" s="173"/>
      <c r="R34" s="180"/>
      <c r="S34" s="173"/>
      <c r="T34" s="173"/>
      <c r="U34" s="173"/>
      <c r="V34" s="173"/>
      <c r="W34" s="180"/>
      <c r="AA34" s="173"/>
      <c r="AB34" s="173"/>
      <c r="AC34" s="105"/>
      <c r="AD34" s="173"/>
      <c r="AE34" s="173"/>
      <c r="AF34" s="173"/>
      <c r="AG34" s="173"/>
      <c r="AH34" s="173"/>
    </row>
    <row r="35" spans="1:34">
      <c r="A35" s="173"/>
      <c r="B35" s="173"/>
      <c r="C35" s="173"/>
      <c r="D35" s="173"/>
      <c r="E35" s="181"/>
      <c r="F35" s="182"/>
      <c r="G35" s="180"/>
      <c r="H35" s="173"/>
      <c r="I35" s="183"/>
      <c r="J35" s="173"/>
      <c r="K35" s="180"/>
      <c r="L35" s="173"/>
      <c r="M35" s="173"/>
      <c r="N35" s="183"/>
      <c r="O35" s="173"/>
      <c r="P35" s="180"/>
      <c r="Q35" s="173"/>
      <c r="R35" s="180"/>
      <c r="S35" s="173"/>
      <c r="T35" s="173"/>
      <c r="U35" s="173"/>
      <c r="V35" s="173"/>
      <c r="W35" s="180"/>
      <c r="AA35" s="173"/>
      <c r="AB35" s="173"/>
      <c r="AC35" s="105"/>
      <c r="AD35" s="173"/>
      <c r="AE35" s="173"/>
      <c r="AF35" s="173"/>
      <c r="AG35" s="173"/>
      <c r="AH35" s="173"/>
    </row>
    <row r="36" spans="1:34">
      <c r="A36" s="173"/>
      <c r="B36" s="173"/>
      <c r="C36" s="227" t="s">
        <v>131</v>
      </c>
      <c r="D36" s="227"/>
      <c r="E36" s="227"/>
      <c r="F36" s="227"/>
      <c r="G36" s="227"/>
      <c r="H36" s="227"/>
      <c r="I36" s="227"/>
      <c r="J36" s="227"/>
      <c r="K36" s="180"/>
      <c r="L36" s="173"/>
      <c r="M36" s="173"/>
      <c r="N36" s="183"/>
      <c r="O36" s="173"/>
      <c r="P36" s="180"/>
      <c r="Q36" s="173"/>
      <c r="R36" s="180"/>
      <c r="S36" s="173"/>
      <c r="T36" s="173"/>
      <c r="U36" s="173"/>
      <c r="V36" s="173"/>
      <c r="W36" s="180"/>
      <c r="AA36" s="173"/>
      <c r="AB36" s="173"/>
      <c r="AC36" s="173"/>
      <c r="AD36" s="173"/>
      <c r="AE36" s="173"/>
      <c r="AF36" s="173"/>
      <c r="AG36" s="173"/>
      <c r="AH36" s="173"/>
    </row>
    <row r="37" spans="1:34">
      <c r="A37" s="173"/>
      <c r="B37" s="173"/>
      <c r="C37" s="227"/>
      <c r="D37" s="227"/>
      <c r="E37" s="227"/>
      <c r="F37" s="227"/>
      <c r="G37" s="227"/>
      <c r="H37" s="227"/>
      <c r="I37" s="227"/>
      <c r="J37" s="227"/>
      <c r="K37" s="180"/>
      <c r="L37" s="173"/>
      <c r="M37" s="173"/>
      <c r="N37" s="183"/>
      <c r="O37" s="173"/>
      <c r="P37" s="180"/>
      <c r="Q37" s="173"/>
      <c r="R37" s="180"/>
      <c r="S37" s="173"/>
      <c r="T37" s="173"/>
      <c r="U37" s="173"/>
      <c r="V37" s="173"/>
      <c r="W37" s="180"/>
      <c r="AA37" s="173"/>
      <c r="AB37" s="173"/>
      <c r="AC37" s="173"/>
      <c r="AD37" s="173"/>
      <c r="AE37" s="173"/>
      <c r="AF37" s="173"/>
      <c r="AG37" s="173"/>
      <c r="AH37" s="173"/>
    </row>
    <row r="38" spans="1:34">
      <c r="A38" s="173"/>
      <c r="B38" s="173"/>
      <c r="C38" s="227"/>
      <c r="D38" s="227"/>
      <c r="E38" s="227"/>
      <c r="F38" s="227"/>
      <c r="G38" s="227"/>
      <c r="H38" s="227"/>
      <c r="I38" s="227"/>
      <c r="J38" s="227"/>
      <c r="K38" s="180"/>
      <c r="L38" s="173"/>
      <c r="M38" s="173"/>
      <c r="N38" s="183"/>
      <c r="O38" s="173"/>
      <c r="P38" s="180"/>
      <c r="Q38" s="173"/>
      <c r="R38" s="180"/>
      <c r="S38" s="173"/>
      <c r="T38" s="173"/>
      <c r="U38" s="173"/>
      <c r="V38" s="173"/>
      <c r="W38" s="180"/>
      <c r="AA38" s="173"/>
      <c r="AB38" s="173"/>
      <c r="AC38" s="173"/>
      <c r="AD38" s="173"/>
      <c r="AE38" s="173"/>
      <c r="AF38" s="173"/>
      <c r="AG38" s="173"/>
      <c r="AH38" s="173"/>
    </row>
    <row r="39" spans="1:34">
      <c r="A39" s="173"/>
      <c r="B39" s="173"/>
      <c r="C39" s="227"/>
      <c r="D39" s="227"/>
      <c r="E39" s="227"/>
      <c r="F39" s="227"/>
      <c r="G39" s="227"/>
      <c r="H39" s="227"/>
      <c r="I39" s="227"/>
      <c r="J39" s="227"/>
      <c r="K39" s="180"/>
      <c r="L39" s="173"/>
      <c r="M39" s="173"/>
      <c r="N39" s="183"/>
      <c r="O39" s="173"/>
      <c r="P39" s="180"/>
      <c r="Q39" s="173"/>
      <c r="R39" s="180"/>
      <c r="S39" s="173"/>
      <c r="T39" s="173"/>
      <c r="U39" s="173"/>
      <c r="V39" s="173"/>
      <c r="W39" s="180"/>
      <c r="AA39" s="173"/>
      <c r="AB39" s="173"/>
      <c r="AC39" s="173"/>
      <c r="AD39" s="173"/>
      <c r="AE39" s="173"/>
      <c r="AF39" s="173"/>
      <c r="AG39" s="173"/>
      <c r="AH39" s="173"/>
    </row>
    <row r="40" spans="1:34">
      <c r="A40" s="173"/>
      <c r="B40" s="173"/>
      <c r="C40" s="227"/>
      <c r="D40" s="227"/>
      <c r="E40" s="227"/>
      <c r="F40" s="227"/>
      <c r="G40" s="227"/>
      <c r="H40" s="227"/>
      <c r="I40" s="227"/>
      <c r="J40" s="227"/>
      <c r="K40" s="180"/>
      <c r="L40" s="173"/>
      <c r="M40" s="173"/>
      <c r="N40" s="183"/>
      <c r="O40" s="173"/>
      <c r="P40" s="180"/>
      <c r="Q40" s="173"/>
      <c r="R40" s="180"/>
      <c r="S40" s="173"/>
      <c r="T40" s="173"/>
      <c r="U40" s="173"/>
      <c r="V40" s="173"/>
      <c r="W40" s="180"/>
      <c r="AA40" s="173"/>
      <c r="AB40" s="173"/>
      <c r="AC40" s="173"/>
      <c r="AD40" s="173"/>
      <c r="AE40" s="173"/>
      <c r="AF40" s="173"/>
      <c r="AG40" s="173"/>
      <c r="AH40" s="173"/>
    </row>
  </sheetData>
  <sheetProtection selectLockedCells="1"/>
  <mergeCells count="2">
    <mergeCell ref="C36:J40"/>
    <mergeCell ref="AI3:AT3"/>
  </mergeCells>
  <phoneticPr fontId="3"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1</vt:i4>
      </vt:variant>
      <vt:variant>
        <vt:lpstr>Named Ranges</vt:lpstr>
      </vt:variant>
      <vt:variant>
        <vt:i4>1</vt:i4>
      </vt:variant>
    </vt:vector>
  </HeadingPairs>
  <TitlesOfParts>
    <vt:vector size="5" baseType="lpstr">
      <vt:lpstr>Analysis Worksheet</vt:lpstr>
      <vt:lpstr>Interest Calculations</vt:lpstr>
      <vt:lpstr>ROI Analysis</vt:lpstr>
      <vt:lpstr>Chart2</vt:lpstr>
      <vt:lpstr>'Analysis Worksheet'!Print_Area</vt:lpstr>
    </vt:vector>
  </TitlesOfParts>
  <Manager/>
  <Company>Keller Williams Realty, 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dc:creator>
  <cp:keywords/>
  <dc:description/>
  <cp:lastModifiedBy>Steve Chader</cp:lastModifiedBy>
  <cp:revision/>
  <dcterms:created xsi:type="dcterms:W3CDTF">2004-12-01T02:04:04Z</dcterms:created>
  <dcterms:modified xsi:type="dcterms:W3CDTF">2024-04-02T21:56:46Z</dcterms:modified>
  <cp:category/>
  <cp:contentStatus/>
</cp:coreProperties>
</file>